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5895" activeTab="1"/>
  </bookViews>
  <sheets>
    <sheet name="штрафы-карточка" sheetId="1" r:id="rId1"/>
    <sheet name="LITE" sheetId="2" r:id="rId2"/>
    <sheet name="PRO" sheetId="3" r:id="rId3"/>
    <sheet name="БИЗНЕС" sheetId="4" r:id="rId4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ок</author>
    <author>Tutty</author>
  </authors>
  <commentList>
    <comment ref="F103" authorId="0">
      <text>
        <r>
          <rPr>
            <b/>
            <sz val="9"/>
            <rFont val="Tahoma"/>
            <family val="0"/>
          </rPr>
          <t>52</t>
        </r>
        <r>
          <rPr>
            <sz val="9"/>
            <rFont val="Tahoma"/>
            <family val="0"/>
          </rPr>
          <t xml:space="preserve">
</t>
        </r>
      </text>
    </comment>
    <comment ref="F104" authorId="0">
      <text>
        <r>
          <rPr>
            <b/>
            <sz val="9"/>
            <rFont val="Tahoma"/>
            <family val="0"/>
          </rPr>
          <t>52, 82</t>
        </r>
        <r>
          <rPr>
            <sz val="9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9"/>
            <rFont val="Tahoma"/>
            <family val="0"/>
          </rPr>
          <t>5</t>
        </r>
        <r>
          <rPr>
            <sz val="9"/>
            <rFont val="Tahoma"/>
            <family val="0"/>
          </rPr>
          <t xml:space="preserve">
</t>
        </r>
      </text>
    </comment>
    <comment ref="F105" authorId="0">
      <text>
        <r>
          <rPr>
            <b/>
            <sz val="9"/>
            <rFont val="Tahoma"/>
            <family val="0"/>
          </rPr>
          <t xml:space="preserve">52, 78
</t>
        </r>
        <r>
          <rPr>
            <sz val="9"/>
            <rFont val="Tahoma"/>
            <family val="0"/>
          </rPr>
          <t xml:space="preserve">
</t>
        </r>
      </text>
    </comment>
    <comment ref="K111" authorId="0">
      <text>
        <r>
          <rPr>
            <b/>
            <sz val="9"/>
            <rFont val="Tahoma"/>
            <family val="0"/>
          </rPr>
          <t>42</t>
        </r>
        <r>
          <rPr>
            <sz val="9"/>
            <rFont val="Tahoma"/>
            <family val="0"/>
          </rPr>
          <t xml:space="preserve">
</t>
        </r>
      </text>
    </comment>
    <comment ref="J112" authorId="0">
      <text>
        <r>
          <rPr>
            <b/>
            <sz val="9"/>
            <rFont val="Tahoma"/>
            <family val="0"/>
          </rPr>
          <t>108, 110</t>
        </r>
        <r>
          <rPr>
            <sz val="9"/>
            <rFont val="Tahoma"/>
            <family val="0"/>
          </rPr>
          <t xml:space="preserve">
</t>
        </r>
      </text>
    </comment>
    <comment ref="J115" authorId="0">
      <text>
        <r>
          <rPr>
            <b/>
            <sz val="9"/>
            <rFont val="Tahoma"/>
            <family val="0"/>
          </rPr>
          <t xml:space="preserve">112, 113, 114, 104
</t>
        </r>
        <r>
          <rPr>
            <sz val="9"/>
            <rFont val="Tahoma"/>
            <family val="0"/>
          </rPr>
          <t xml:space="preserve">
</t>
        </r>
      </text>
    </comment>
    <comment ref="G118" authorId="0">
      <text>
        <r>
          <rPr>
            <b/>
            <sz val="9"/>
            <rFont val="Tahoma"/>
            <family val="0"/>
          </rPr>
          <t>11</t>
        </r>
        <r>
          <rPr>
            <sz val="9"/>
            <rFont val="Tahoma"/>
            <family val="0"/>
          </rPr>
          <t xml:space="preserve">
</t>
        </r>
      </text>
    </comment>
    <comment ref="F118" authorId="0">
      <text>
        <r>
          <rPr>
            <b/>
            <sz val="9"/>
            <rFont val="Tahoma"/>
            <family val="0"/>
          </rPr>
          <t>52</t>
        </r>
        <r>
          <rPr>
            <sz val="9"/>
            <rFont val="Tahoma"/>
            <family val="0"/>
          </rPr>
          <t xml:space="preserve">
</t>
        </r>
      </text>
    </comment>
    <comment ref="G120" authorId="0">
      <text>
        <r>
          <rPr>
            <b/>
            <sz val="9"/>
            <rFont val="Tahoma"/>
            <family val="0"/>
          </rPr>
          <t>6</t>
        </r>
        <r>
          <rPr>
            <sz val="9"/>
            <rFont val="Tahoma"/>
            <family val="0"/>
          </rPr>
          <t xml:space="preserve">
</t>
        </r>
      </text>
    </comment>
    <comment ref="G129" authorId="0">
      <text>
        <r>
          <rPr>
            <b/>
            <sz val="9"/>
            <rFont val="Tahoma"/>
            <family val="0"/>
          </rPr>
          <t>18</t>
        </r>
        <r>
          <rPr>
            <sz val="9"/>
            <rFont val="Tahoma"/>
            <family val="0"/>
          </rPr>
          <t xml:space="preserve">
</t>
        </r>
      </text>
    </comment>
    <comment ref="F135" authorId="0">
      <text>
        <r>
          <rPr>
            <b/>
            <sz val="9"/>
            <rFont val="Tahoma"/>
            <family val="0"/>
          </rPr>
          <t>52</t>
        </r>
        <r>
          <rPr>
            <sz val="9"/>
            <rFont val="Tahoma"/>
            <family val="0"/>
          </rPr>
          <t xml:space="preserve">
</t>
        </r>
      </text>
    </comment>
    <comment ref="F137" authorId="0">
      <text>
        <r>
          <rPr>
            <b/>
            <sz val="9"/>
            <rFont val="Tahoma"/>
            <family val="0"/>
          </rPr>
          <t>52, 74</t>
        </r>
        <r>
          <rPr>
            <sz val="9"/>
            <rFont val="Tahoma"/>
            <family val="0"/>
          </rPr>
          <t xml:space="preserve">
</t>
        </r>
      </text>
    </comment>
    <comment ref="F141" authorId="0">
      <text>
        <r>
          <rPr>
            <b/>
            <sz val="9"/>
            <rFont val="Tahoma"/>
            <family val="0"/>
          </rPr>
          <t>82</t>
        </r>
        <r>
          <rPr>
            <sz val="9"/>
            <rFont val="Tahoma"/>
            <family val="0"/>
          </rPr>
          <t xml:space="preserve">
</t>
        </r>
      </text>
    </comment>
    <comment ref="J141" authorId="0">
      <text>
        <r>
          <rPr>
            <b/>
            <sz val="9"/>
            <rFont val="Tahoma"/>
            <family val="0"/>
          </rPr>
          <t>112, 113, 114</t>
        </r>
        <r>
          <rPr>
            <sz val="9"/>
            <rFont val="Tahoma"/>
            <family val="0"/>
          </rPr>
          <t xml:space="preserve">
</t>
        </r>
      </text>
    </comment>
    <comment ref="G143" authorId="0">
      <text>
        <r>
          <rPr>
            <b/>
            <sz val="9"/>
            <rFont val="Tahoma"/>
            <family val="0"/>
          </rPr>
          <t>3, 7</t>
        </r>
        <r>
          <rPr>
            <sz val="9"/>
            <rFont val="Tahoma"/>
            <family val="0"/>
          </rPr>
          <t xml:space="preserve">
</t>
        </r>
      </text>
    </comment>
    <comment ref="F143" authorId="0">
      <text>
        <r>
          <rPr>
            <b/>
            <sz val="9"/>
            <rFont val="Tahoma"/>
            <family val="0"/>
          </rPr>
          <t>52, 62, 72, 78</t>
        </r>
        <r>
          <rPr>
            <sz val="9"/>
            <rFont val="Tahoma"/>
            <family val="0"/>
          </rPr>
          <t xml:space="preserve">
</t>
        </r>
      </text>
    </comment>
    <comment ref="G145" authorId="0">
      <text>
        <r>
          <rPr>
            <b/>
            <sz val="9"/>
            <rFont val="Tahoma"/>
            <family val="0"/>
          </rPr>
          <t xml:space="preserve">3, 6, 7
</t>
        </r>
        <r>
          <rPr>
            <sz val="9"/>
            <rFont val="Tahoma"/>
            <family val="0"/>
          </rPr>
          <t xml:space="preserve">
</t>
        </r>
      </text>
    </comment>
    <comment ref="I145" authorId="0">
      <text>
        <r>
          <rPr>
            <b/>
            <sz val="9"/>
            <rFont val="Tahoma"/>
            <family val="0"/>
          </rPr>
          <t>31, 32, 33</t>
        </r>
        <r>
          <rPr>
            <sz val="9"/>
            <rFont val="Tahoma"/>
            <family val="0"/>
          </rPr>
          <t xml:space="preserve">
</t>
        </r>
      </text>
    </comment>
    <comment ref="G147" authorId="0">
      <text>
        <r>
          <rPr>
            <b/>
            <sz val="9"/>
            <rFont val="Tahoma"/>
            <family val="0"/>
          </rPr>
          <t>7</t>
        </r>
        <r>
          <rPr>
            <sz val="9"/>
            <rFont val="Tahoma"/>
            <family val="0"/>
          </rPr>
          <t xml:space="preserve">
</t>
        </r>
      </text>
    </comment>
    <comment ref="G149" authorId="0">
      <text>
        <r>
          <rPr>
            <b/>
            <sz val="9"/>
            <rFont val="Tahoma"/>
            <family val="0"/>
          </rPr>
          <t>23</t>
        </r>
        <r>
          <rPr>
            <sz val="9"/>
            <rFont val="Tahoma"/>
            <family val="0"/>
          </rPr>
          <t xml:space="preserve">
</t>
        </r>
      </text>
    </comment>
    <comment ref="J156" authorId="0">
      <text>
        <r>
          <rPr>
            <b/>
            <sz val="9"/>
            <rFont val="Tahoma"/>
            <family val="0"/>
          </rPr>
          <t>111, 112, 113, 114</t>
        </r>
        <r>
          <rPr>
            <sz val="9"/>
            <rFont val="Tahoma"/>
            <family val="0"/>
          </rPr>
          <t xml:space="preserve">
</t>
        </r>
      </text>
    </comment>
    <comment ref="F160" authorId="0">
      <text>
        <r>
          <rPr>
            <b/>
            <sz val="9"/>
            <rFont val="Tahoma"/>
            <family val="0"/>
          </rPr>
          <t>52</t>
        </r>
      </text>
    </comment>
    <comment ref="J160" authorId="0">
      <text>
        <r>
          <rPr>
            <b/>
            <sz val="9"/>
            <rFont val="Tahoma"/>
            <family val="0"/>
          </rPr>
          <t xml:space="preserve">102, 103, 104, 105
</t>
        </r>
        <r>
          <rPr>
            <sz val="9"/>
            <rFont val="Tahoma"/>
            <family val="0"/>
          </rPr>
          <t xml:space="preserve">
</t>
        </r>
      </text>
    </comment>
    <comment ref="J161" authorId="1">
      <text>
        <r>
          <rPr>
            <b/>
            <sz val="8"/>
            <rFont val="Tahoma"/>
            <family val="0"/>
          </rPr>
          <t>109</t>
        </r>
        <r>
          <rPr>
            <sz val="8"/>
            <rFont val="Tahoma"/>
            <family val="0"/>
          </rPr>
          <t xml:space="preserve">
</t>
        </r>
      </text>
    </comment>
    <comment ref="G165" authorId="1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J168" authorId="1">
      <text>
        <r>
          <rPr>
            <b/>
            <sz val="8"/>
            <rFont val="Tahoma"/>
            <family val="0"/>
          </rPr>
          <t>106</t>
        </r>
        <r>
          <rPr>
            <sz val="8"/>
            <rFont val="Tahoma"/>
            <family val="0"/>
          </rPr>
          <t xml:space="preserve">
</t>
        </r>
      </text>
    </comment>
    <comment ref="G170" authorId="1">
      <text>
        <r>
          <rPr>
            <b/>
            <sz val="8"/>
            <rFont val="Tahoma"/>
            <family val="0"/>
          </rPr>
          <t>5, 23</t>
        </r>
        <r>
          <rPr>
            <sz val="8"/>
            <rFont val="Tahoma"/>
            <family val="0"/>
          </rPr>
          <t xml:space="preserve">
</t>
        </r>
      </text>
    </comment>
    <comment ref="F172" authorId="1">
      <text>
        <r>
          <rPr>
            <b/>
            <sz val="8"/>
            <rFont val="Tahoma"/>
            <family val="0"/>
          </rPr>
          <t>52</t>
        </r>
        <r>
          <rPr>
            <sz val="8"/>
            <rFont val="Tahoma"/>
            <family val="0"/>
          </rPr>
          <t xml:space="preserve">
</t>
        </r>
      </text>
    </comment>
    <comment ref="L175" authorId="1">
      <text>
        <r>
          <rPr>
            <b/>
            <sz val="8"/>
            <rFont val="Tahoma"/>
            <family val="0"/>
          </rPr>
          <t>124</t>
        </r>
        <r>
          <rPr>
            <sz val="8"/>
            <rFont val="Tahoma"/>
            <family val="0"/>
          </rPr>
          <t xml:space="preserve">
</t>
        </r>
      </text>
    </comment>
    <comment ref="F177" authorId="1">
      <text>
        <r>
          <rPr>
            <b/>
            <sz val="8"/>
            <rFont val="Tahoma"/>
            <family val="0"/>
          </rPr>
          <t>52</t>
        </r>
        <r>
          <rPr>
            <sz val="8"/>
            <rFont val="Tahoma"/>
            <family val="0"/>
          </rPr>
          <t xml:space="preserve">
</t>
        </r>
      </text>
    </comment>
    <comment ref="I177" authorId="1">
      <text>
        <r>
          <rPr>
            <b/>
            <sz val="8"/>
            <rFont val="Tahoma"/>
            <family val="0"/>
          </rPr>
          <t>31</t>
        </r>
        <r>
          <rPr>
            <sz val="8"/>
            <rFont val="Tahoma"/>
            <family val="0"/>
          </rPr>
          <t xml:space="preserve">
</t>
        </r>
      </text>
    </comment>
    <comment ref="J177" authorId="1">
      <text>
        <r>
          <rPr>
            <b/>
            <sz val="8"/>
            <rFont val="Tahoma"/>
            <family val="0"/>
          </rPr>
          <t>111, 112, 113, 114</t>
        </r>
        <r>
          <rPr>
            <sz val="8"/>
            <rFont val="Tahoma"/>
            <family val="0"/>
          </rPr>
          <t xml:space="preserve">
</t>
        </r>
      </text>
    </comment>
    <comment ref="J180" authorId="1">
      <text>
        <r>
          <rPr>
            <b/>
            <sz val="8"/>
            <rFont val="Tahoma"/>
            <family val="0"/>
          </rPr>
          <t>112, 113, 114</t>
        </r>
        <r>
          <rPr>
            <sz val="8"/>
            <rFont val="Tahoma"/>
            <family val="0"/>
          </rPr>
          <t xml:space="preserve">
</t>
        </r>
      </text>
    </comment>
    <comment ref="I2" authorId="1">
      <text>
        <r>
          <rPr>
            <b/>
            <sz val="8"/>
            <rFont val="Tahoma"/>
            <family val="0"/>
          </rPr>
          <t>36</t>
        </r>
        <r>
          <rPr>
            <sz val="8"/>
            <rFont val="Tahoma"/>
            <family val="0"/>
          </rPr>
          <t xml:space="preserve">
</t>
        </r>
      </text>
    </comment>
    <comment ref="J3" authorId="1">
      <text>
        <r>
          <rPr>
            <b/>
            <sz val="8"/>
            <rFont val="Tahoma"/>
            <family val="0"/>
          </rPr>
          <t>112, 113, 114</t>
        </r>
        <r>
          <rPr>
            <sz val="8"/>
            <rFont val="Tahoma"/>
            <family val="0"/>
          </rPr>
          <t xml:space="preserve">
</t>
        </r>
      </text>
    </comment>
    <comment ref="G9" authorId="1">
      <text>
        <r>
          <rPr>
            <b/>
            <sz val="8"/>
            <rFont val="Tahoma"/>
            <family val="0"/>
          </rPr>
          <t>5, 7</t>
        </r>
        <r>
          <rPr>
            <sz val="8"/>
            <rFont val="Tahoma"/>
            <family val="0"/>
          </rPr>
          <t xml:space="preserve">
</t>
        </r>
      </text>
    </comment>
    <comment ref="J9" authorId="1">
      <text>
        <r>
          <rPr>
            <b/>
            <sz val="8"/>
            <rFont val="Tahoma"/>
            <family val="0"/>
          </rPr>
          <t>104, 112, 113, 114</t>
        </r>
        <r>
          <rPr>
            <sz val="8"/>
            <rFont val="Tahoma"/>
            <family val="0"/>
          </rPr>
          <t xml:space="preserve">
</t>
        </r>
      </text>
    </comment>
    <comment ref="F16" authorId="1">
      <text>
        <r>
          <rPr>
            <b/>
            <sz val="8"/>
            <rFont val="Tahoma"/>
            <family val="0"/>
          </rPr>
          <t>52</t>
        </r>
        <r>
          <rPr>
            <sz val="8"/>
            <rFont val="Tahoma"/>
            <family val="0"/>
          </rPr>
          <t xml:space="preserve">
</t>
        </r>
      </text>
    </comment>
    <comment ref="J17" authorId="1">
      <text>
        <r>
          <rPr>
            <b/>
            <sz val="8"/>
            <rFont val="Tahoma"/>
            <family val="0"/>
          </rPr>
          <t>105, 112</t>
        </r>
        <r>
          <rPr>
            <sz val="8"/>
            <rFont val="Tahoma"/>
            <family val="0"/>
          </rPr>
          <t xml:space="preserve">
</t>
        </r>
      </text>
    </comment>
    <comment ref="J20" authorId="1">
      <text>
        <r>
          <rPr>
            <b/>
            <sz val="8"/>
            <rFont val="Tahoma"/>
            <family val="0"/>
          </rPr>
          <t>112, 113, 114</t>
        </r>
        <r>
          <rPr>
            <sz val="8"/>
            <rFont val="Tahoma"/>
            <family val="0"/>
          </rPr>
          <t xml:space="preserve">
</t>
        </r>
      </text>
    </comment>
    <comment ref="F34" authorId="1">
      <text>
        <r>
          <rPr>
            <b/>
            <sz val="8"/>
            <rFont val="Tahoma"/>
            <family val="0"/>
          </rPr>
          <t>52</t>
        </r>
        <r>
          <rPr>
            <sz val="8"/>
            <rFont val="Tahoma"/>
            <family val="0"/>
          </rPr>
          <t xml:space="preserve">
</t>
        </r>
      </text>
    </comment>
    <comment ref="G35" authorId="1">
      <text>
        <r>
          <rPr>
            <b/>
            <sz val="8"/>
            <rFont val="Tahoma"/>
            <family val="0"/>
          </rPr>
          <t>17, 21, 23</t>
        </r>
        <r>
          <rPr>
            <sz val="8"/>
            <rFont val="Tahoma"/>
            <family val="0"/>
          </rPr>
          <t xml:space="preserve">
</t>
        </r>
      </text>
    </comment>
    <comment ref="F40" authorId="1">
      <text>
        <r>
          <rPr>
            <b/>
            <sz val="8"/>
            <rFont val="Tahoma"/>
            <family val="0"/>
          </rPr>
          <t>72</t>
        </r>
        <r>
          <rPr>
            <sz val="8"/>
            <rFont val="Tahoma"/>
            <family val="0"/>
          </rPr>
          <t xml:space="preserve">
</t>
        </r>
      </text>
    </comment>
    <comment ref="G43" authorId="1">
      <text>
        <r>
          <rPr>
            <b/>
            <sz val="8"/>
            <rFont val="Tahoma"/>
            <family val="0"/>
          </rPr>
          <t>5</t>
        </r>
        <r>
          <rPr>
            <sz val="8"/>
            <rFont val="Tahoma"/>
            <family val="0"/>
          </rPr>
          <t xml:space="preserve">
</t>
        </r>
      </text>
    </comment>
    <comment ref="J52" authorId="1">
      <text>
        <r>
          <rPr>
            <b/>
            <sz val="8"/>
            <rFont val="Tahoma"/>
            <family val="0"/>
          </rPr>
          <t>101, 104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<sst xmlns="http://schemas.openxmlformats.org/spreadsheetml/2006/main" count="1106" uniqueCount="580">
  <si>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</si>
  <si>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</si>
  <si>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</si>
  <si>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</si>
  <si>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</si>
  <si>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</si>
  <si>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</si>
  <si>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</si>
  <si>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</si>
  <si>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</si>
  <si>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</si>
  <si>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</si>
  <si>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</si>
  <si>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переправа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</si>
  <si>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</si>
  <si>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</si>
  <si>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</si>
  <si>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</si>
  <si>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</si>
  <si>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</si>
  <si>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</si>
  <si>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</si>
  <si>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</si>
  <si>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</si>
  <si>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</si>
  <si>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</si>
  <si>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</si>
  <si>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</si>
  <si>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</si>
  <si>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</si>
  <si>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</si>
  <si>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</si>
  <si>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</si>
  <si>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</si>
  <si>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</si>
  <si>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</si>
  <si>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</si>
  <si>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</si>
  <si>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</si>
  <si>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</si>
  <si>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</si>
  <si>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</si>
  <si>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</si>
  <si>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</si>
  <si>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</si>
  <si>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</si>
  <si>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</si>
  <si>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</si>
  <si>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</si>
  <si>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</si>
  <si>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</si>
  <si>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</si>
  <si>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</si>
  <si>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</si>
  <si>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</si>
  <si>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</si>
  <si>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</si>
  <si>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</si>
  <si>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</si>
  <si>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</si>
  <si>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</si>
  <si>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</si>
  <si>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</si>
  <si>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</si>
  <si>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</si>
  <si>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</si>
  <si>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</si>
  <si>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</si>
  <si>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</si>
  <si>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</si>
  <si>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</si>
  <si>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</si>
  <si>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</si>
  <si>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</si>
  <si>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</si>
  <si>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</si>
  <si>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</si>
  <si>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</si>
  <si>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</si>
  <si>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</si>
  <si>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</si>
  <si>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</si>
  <si>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</si>
  <si>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</si>
  <si>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</si>
  <si>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</si>
  <si>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</si>
  <si>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</si>
  <si>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</si>
  <si>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</si>
  <si>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</si>
  <si>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</si>
  <si>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</si>
  <si>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</si>
  <si>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</si>
  <si>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</si>
  <si>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</si>
  <si>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</si>
  <si>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</si>
  <si>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</si>
  <si>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</si>
  <si>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</si>
  <si>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</si>
  <si>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</si>
  <si>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</si>
  <si>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</si>
  <si>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</si>
  <si>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</si>
  <si>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</si>
  <si>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</si>
  <si>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</si>
  <si>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</si>
  <si>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</si>
  <si>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</si>
  <si>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</si>
  <si>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</si>
  <si>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</si>
  <si>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</si>
  <si>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</si>
  <si>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</si>
  <si>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</si>
  <si>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</si>
  <si>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</si>
  <si>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</si>
  <si>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</si>
  <si>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</si>
  <si>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</si>
  <si>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</si>
  <si>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</si>
  <si>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</si>
  <si>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</si>
  <si>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</si>
  <si>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</si>
  <si>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</si>
  <si>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</si>
  <si>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</si>
  <si>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</si>
  <si>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</si>
  <si>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</si>
  <si>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</si>
  <si>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</si>
  <si>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</si>
  <si>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</si>
  <si>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</si>
  <si>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</si>
  <si>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</si>
  <si>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</si>
  <si>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</si>
  <si>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</si>
  <si>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</si>
  <si>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</si>
  <si>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</si>
  <si>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</si>
  <si>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</si>
  <si>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</si>
  <si>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</si>
  <si>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</si>
  <si>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</si>
  <si>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</si>
  <si>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</si>
  <si>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</si>
  <si>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</si>
  <si>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</si>
  <si>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</si>
  <si>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</si>
  <si>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</si>
  <si>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</si>
  <si>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</si>
  <si>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</si>
  <si>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</si>
  <si>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</si>
  <si>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</si>
  <si>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</si>
  <si>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</si>
  <si>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</si>
  <si>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</si>
  <si>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</si>
  <si>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</si>
  <si>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</si>
  <si>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</si>
  <si>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</si>
  <si>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</si>
  <si>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</si>
  <si>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</si>
  <si>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</si>
  <si>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</si>
  <si>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</si>
  <si>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</si>
  <si>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</si>
  <si>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</si>
  <si>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</si>
  <si>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</si>
  <si>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</si>
  <si>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</si>
  <si>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</si>
  <si>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</si>
  <si>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</si>
  <si>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</si>
  <si>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</si>
  <si>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</si>
  <si>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</si>
  <si>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</si>
  <si>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</si>
  <si>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</si>
  <si>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</si>
  <si>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</si>
  <si>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</si>
  <si>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</si>
  <si>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</si>
  <si>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</si>
  <si>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</si>
  <si>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</si>
  <si>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</si>
  <si>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</si>
  <si>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</si>
  <si>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</si>
  <si>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</si>
  <si>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</si>
  <si>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</si>
  <si>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</si>
  <si>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</si>
  <si>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</si>
  <si>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</si>
  <si>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</si>
  <si>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</si>
  <si>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</si>
  <si>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</si>
  <si>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</si>
  <si>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</si>
  <si>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</si>
  <si>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</si>
  <si>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</si>
  <si>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</si>
  <si>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</si>
  <si>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</si>
  <si>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</si>
  <si>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</si>
  <si>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</si>
  <si>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</si>
  <si>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LITE</t>
  </si>
  <si>
    <t>ЦС</t>
  </si>
  <si>
    <t>ориентЛАЙТ</t>
  </si>
  <si>
    <t>ролики</t>
  </si>
  <si>
    <t>сетка</t>
  </si>
  <si>
    <t>скалолазание</t>
  </si>
  <si>
    <t>пожарка</t>
  </si>
  <si>
    <t>трамплин</t>
  </si>
  <si>
    <t>замок</t>
  </si>
  <si>
    <t>башня</t>
  </si>
  <si>
    <t>колесо</t>
  </si>
  <si>
    <t>ровинг</t>
  </si>
  <si>
    <t>отметка</t>
  </si>
  <si>
    <t>старт</t>
  </si>
  <si>
    <t>финиш</t>
  </si>
  <si>
    <t>приход</t>
  </si>
  <si>
    <t>отсечка</t>
  </si>
  <si>
    <t>выполнение</t>
  </si>
  <si>
    <t>место</t>
  </si>
  <si>
    <t>Название команды</t>
  </si>
  <si>
    <t>Время факт</t>
  </si>
  <si>
    <t>Отсечки</t>
  </si>
  <si>
    <t>Штраф Эл.</t>
  </si>
  <si>
    <t>Результат</t>
  </si>
  <si>
    <t>ММ</t>
  </si>
  <si>
    <t>ALKO-STOP</t>
  </si>
  <si>
    <t>05:59:23</t>
  </si>
  <si>
    <t>MIPT-o-team</t>
  </si>
  <si>
    <t>06:18:53</t>
  </si>
  <si>
    <t>sableX.team - tramontana</t>
  </si>
  <si>
    <t>07:02:24</t>
  </si>
  <si>
    <t>ЖЖ</t>
  </si>
  <si>
    <t>Di &amp; Lemrace</t>
  </si>
  <si>
    <t>07:48:22</t>
  </si>
  <si>
    <t>Carabin.ru</t>
  </si>
  <si>
    <t>07:32:43</t>
  </si>
  <si>
    <t>MЖ</t>
  </si>
  <si>
    <t>ЛСУ</t>
  </si>
  <si>
    <t>07:52:03</t>
  </si>
  <si>
    <t>Дримеры</t>
  </si>
  <si>
    <t>08:33:22</t>
  </si>
  <si>
    <t>Ностальгия</t>
  </si>
  <si>
    <t>08:09:19</t>
  </si>
  <si>
    <t>Хомяки</t>
  </si>
  <si>
    <t>08:25:10</t>
  </si>
  <si>
    <t>МиГ239</t>
  </si>
  <si>
    <t>08:12:42</t>
  </si>
  <si>
    <t>Лекарство от меланхолии</t>
  </si>
  <si>
    <t>08:22:25</t>
  </si>
  <si>
    <t>Не дрыщи!</t>
  </si>
  <si>
    <t>08:55:00</t>
  </si>
  <si>
    <t>Электроники</t>
  </si>
  <si>
    <t>08:48:18</t>
  </si>
  <si>
    <t>Паутиныч</t>
  </si>
  <si>
    <t>09:04:20</t>
  </si>
  <si>
    <t>Навигатор</t>
  </si>
  <si>
    <t>09:46:58</t>
  </si>
  <si>
    <t>Барнаульский трамвай</t>
  </si>
  <si>
    <t>09:04:39</t>
  </si>
  <si>
    <t>Все лето в один день</t>
  </si>
  <si>
    <t>09:21:40</t>
  </si>
  <si>
    <t>100 миль не крюк</t>
  </si>
  <si>
    <t>10:15:42</t>
  </si>
  <si>
    <t>Clockwork Orange</t>
  </si>
  <si>
    <t>09:31:56</t>
  </si>
  <si>
    <t>Бегущие под Небом</t>
  </si>
  <si>
    <t>09:44:41</t>
  </si>
  <si>
    <t>Soxy team</t>
  </si>
  <si>
    <t>09:33:44</t>
  </si>
  <si>
    <t>Ирмамаир</t>
  </si>
  <si>
    <t>10:32:20</t>
  </si>
  <si>
    <t>кукурузаteam</t>
  </si>
  <si>
    <t>10:11:48</t>
  </si>
  <si>
    <t>Выворотни</t>
  </si>
  <si>
    <t>10:20:18</t>
  </si>
  <si>
    <t>Сдачи не надо!</t>
  </si>
  <si>
    <t>09:33:01</t>
  </si>
  <si>
    <t>Потертое седло</t>
  </si>
  <si>
    <t>10:15:43</t>
  </si>
  <si>
    <t>сонька и ешка</t>
  </si>
  <si>
    <t>10:55:07</t>
  </si>
  <si>
    <t>Инди</t>
  </si>
  <si>
    <t>10:44:48</t>
  </si>
  <si>
    <t>Оунту</t>
  </si>
  <si>
    <t>10:31:59</t>
  </si>
  <si>
    <t>Кучеряшки</t>
  </si>
  <si>
    <t>10:48:01</t>
  </si>
  <si>
    <t>Троллей-райдерс</t>
  </si>
  <si>
    <t>10:51:37</t>
  </si>
  <si>
    <t>Бодрые морковки</t>
  </si>
  <si>
    <t>10:42:57</t>
  </si>
  <si>
    <t>Парагвайские Мега Бобры</t>
  </si>
  <si>
    <t>10:19:35</t>
  </si>
  <si>
    <t>Малыш и Карлсон</t>
  </si>
  <si>
    <t>10:25:16</t>
  </si>
  <si>
    <t>Тяжёлые металлы</t>
  </si>
  <si>
    <t>10:55:40</t>
  </si>
  <si>
    <t>Атлантида</t>
  </si>
  <si>
    <t>10:05:18</t>
  </si>
  <si>
    <t>Текила-бум</t>
  </si>
  <si>
    <t>10:06:04</t>
  </si>
  <si>
    <t>Барс</t>
  </si>
  <si>
    <t>10:02:44</t>
  </si>
  <si>
    <t>Светлячки</t>
  </si>
  <si>
    <t>10:26:46</t>
  </si>
  <si>
    <t>Кифрис</t>
  </si>
  <si>
    <t>10:03:15</t>
  </si>
  <si>
    <t>Birds</t>
  </si>
  <si>
    <t>10:20:30</t>
  </si>
  <si>
    <t>Олени Обыкновенные</t>
  </si>
  <si>
    <t>10:45:21</t>
  </si>
  <si>
    <t>Кремни</t>
  </si>
  <si>
    <t>10:27:24</t>
  </si>
  <si>
    <t>Переполох</t>
  </si>
  <si>
    <t>10:40:18</t>
  </si>
  <si>
    <t>Ветклиника Вега</t>
  </si>
  <si>
    <t>10:23:12</t>
  </si>
  <si>
    <t>Это мы, опилки</t>
  </si>
  <si>
    <t>10:46:18</t>
  </si>
  <si>
    <t>Red Devil</t>
  </si>
  <si>
    <t>10:53:09</t>
  </si>
  <si>
    <t>Его самопроизвольное пер</t>
  </si>
  <si>
    <t>10:57:08</t>
  </si>
  <si>
    <t>Amores Perros</t>
  </si>
  <si>
    <t>10:08:02</t>
  </si>
  <si>
    <t>КВ5КРФ</t>
  </si>
  <si>
    <t>11:02:16</t>
  </si>
  <si>
    <t>удиви меня</t>
  </si>
  <si>
    <t>10:41:57</t>
  </si>
  <si>
    <t>Кабэса Мадэра!</t>
  </si>
  <si>
    <t>08:24:16</t>
  </si>
  <si>
    <t>КоатИ</t>
  </si>
  <si>
    <t>10:48:14</t>
  </si>
  <si>
    <t>Литр мышей</t>
  </si>
  <si>
    <t>10:43:06</t>
  </si>
  <si>
    <t>ПОЗИТРОН</t>
  </si>
  <si>
    <t>07:06:30</t>
  </si>
  <si>
    <t>Храбрый сапёр Водичка</t>
  </si>
  <si>
    <t>10:32:18</t>
  </si>
  <si>
    <t>НеСлучайная встреча</t>
  </si>
  <si>
    <t>10:34:02</t>
  </si>
  <si>
    <t>Одуванчик</t>
  </si>
  <si>
    <t>10:27:39</t>
  </si>
  <si>
    <t>крошка-пышка</t>
  </si>
  <si>
    <t>10:50:44</t>
  </si>
  <si>
    <t>Банка клубничного варень</t>
  </si>
  <si>
    <t>08:16:27</t>
  </si>
  <si>
    <t>Двое из ларца :)</t>
  </si>
  <si>
    <t>10:47:40</t>
  </si>
  <si>
    <t>Boogie Woogie</t>
  </si>
  <si>
    <t>10:49:31</t>
  </si>
  <si>
    <t>Коктейль УХ</t>
  </si>
  <si>
    <t>05:58:38</t>
  </si>
  <si>
    <t>PInky&amp;Brain</t>
  </si>
  <si>
    <t>10:27:26</t>
  </si>
  <si>
    <t>Работнички</t>
  </si>
  <si>
    <t>10:53:05</t>
  </si>
  <si>
    <t>Джайв-Стрит</t>
  </si>
  <si>
    <t>08:21:50</t>
  </si>
  <si>
    <t>Бешеные Лоси</t>
  </si>
  <si>
    <t>10:12:24</t>
  </si>
  <si>
    <t>Метеор</t>
  </si>
  <si>
    <t>10:53:07</t>
  </si>
  <si>
    <t>Потеряшки</t>
  </si>
  <si>
    <t>10:31:14</t>
  </si>
  <si>
    <t>Сказочники</t>
  </si>
  <si>
    <t>10:56:09</t>
  </si>
  <si>
    <t>Башни нет</t>
  </si>
  <si>
    <t>08:46:06</t>
  </si>
  <si>
    <t>Супер-супер бупер</t>
  </si>
  <si>
    <t>10:47:12</t>
  </si>
  <si>
    <t>Powergirls</t>
  </si>
  <si>
    <t>08:58:44</t>
  </si>
  <si>
    <t>Штепсель и торопулька</t>
  </si>
  <si>
    <t>10:54:20</t>
  </si>
  <si>
    <t>Ползущий пригород</t>
  </si>
  <si>
    <t>10:39:31</t>
  </si>
  <si>
    <t>СеНат</t>
  </si>
  <si>
    <t>04:57:23</t>
  </si>
  <si>
    <t>Базилиус</t>
  </si>
  <si>
    <t>06:56:52</t>
  </si>
  <si>
    <t>PRO</t>
  </si>
  <si>
    <t>ориентПРО</t>
  </si>
  <si>
    <t>троллей</t>
  </si>
  <si>
    <t>байдарки</t>
  </si>
  <si>
    <t>фонтан</t>
  </si>
  <si>
    <t>MM</t>
  </si>
  <si>
    <t>КАНТ-СПб</t>
  </si>
  <si>
    <t>06:36:38</t>
  </si>
  <si>
    <t>ФИБРА</t>
  </si>
  <si>
    <t>07:58:43</t>
  </si>
  <si>
    <t>100x24.ru</t>
  </si>
  <si>
    <t>08:13:06</t>
  </si>
  <si>
    <t>здесь может быть ваша ре</t>
  </si>
  <si>
    <t>08:10:16</t>
  </si>
  <si>
    <t>Летающие люди внутри сун</t>
  </si>
  <si>
    <t>08:11:21</t>
  </si>
  <si>
    <t>МышЫ family</t>
  </si>
  <si>
    <t>08:18:54</t>
  </si>
  <si>
    <t>Red Fox Sever</t>
  </si>
  <si>
    <t>08:32:26</t>
  </si>
  <si>
    <t>Мокрый праздник</t>
  </si>
  <si>
    <t>08:54:12</t>
  </si>
  <si>
    <t>Атлантида-МПГУ</t>
  </si>
  <si>
    <t>08:57:41</t>
  </si>
  <si>
    <t>Рыжие</t>
  </si>
  <si>
    <t>09:00:10</t>
  </si>
  <si>
    <t>Улыбаемся и Машем!</t>
  </si>
  <si>
    <t>08:58:50</t>
  </si>
  <si>
    <t>sivera</t>
  </si>
  <si>
    <t>09:15:41</t>
  </si>
  <si>
    <t>Bercut.net</t>
  </si>
  <si>
    <t>09:34:18</t>
  </si>
  <si>
    <t>Матрасу нет!</t>
  </si>
  <si>
    <t>09:45:02</t>
  </si>
  <si>
    <t>СНАРЯЖЕНИЕ</t>
  </si>
  <si>
    <t>10:00:18</t>
  </si>
  <si>
    <t>Racing Team</t>
  </si>
  <si>
    <t>09:50:12</t>
  </si>
  <si>
    <t>Carabin.Ru</t>
  </si>
  <si>
    <t>09:44:56</t>
  </si>
  <si>
    <t>СНАРЯЖЕНИЕ 2</t>
  </si>
  <si>
    <t>09:59:18</t>
  </si>
  <si>
    <t>Бледнолицые</t>
  </si>
  <si>
    <t>10:10:27</t>
  </si>
  <si>
    <t>Greenkiss-2</t>
  </si>
  <si>
    <t>10:51:52</t>
  </si>
  <si>
    <t>Кабыздохи</t>
  </si>
  <si>
    <t>10:29:39</t>
  </si>
  <si>
    <t>Глупка и Тупка</t>
  </si>
  <si>
    <t>10:44:39</t>
  </si>
  <si>
    <t>Винни-Пух</t>
  </si>
  <si>
    <t>10:47:51</t>
  </si>
  <si>
    <t>x-race лапин культа</t>
  </si>
  <si>
    <t>10:57:10</t>
  </si>
  <si>
    <t>AR-info.ru</t>
  </si>
  <si>
    <t>10:55:22</t>
  </si>
  <si>
    <t>Семиклювый Пукокрыл</t>
  </si>
  <si>
    <t>10:57:18</t>
  </si>
  <si>
    <t>ПотныЙе Мужики</t>
  </si>
  <si>
    <t>10:13:57</t>
  </si>
  <si>
    <t>Пионерки</t>
  </si>
  <si>
    <t>10:29:29</t>
  </si>
  <si>
    <t>КТУ</t>
  </si>
  <si>
    <t>10:56:37</t>
  </si>
  <si>
    <t>Весна, улитки, торжеству</t>
  </si>
  <si>
    <t>10:46:37</t>
  </si>
  <si>
    <t>ReloaD</t>
  </si>
  <si>
    <t>10:49:18</t>
  </si>
  <si>
    <t>крАмыши</t>
  </si>
  <si>
    <t>11:02:40</t>
  </si>
  <si>
    <t>Кувалда</t>
  </si>
  <si>
    <t>10:51:48</t>
  </si>
  <si>
    <t>АЙТИ-1</t>
  </si>
  <si>
    <t>10:35:01</t>
  </si>
  <si>
    <t>West</t>
  </si>
  <si>
    <t>10:44:27</t>
  </si>
  <si>
    <t>Без головы</t>
  </si>
  <si>
    <t>10:56:50</t>
  </si>
  <si>
    <t>ПИТОНЫ</t>
  </si>
  <si>
    <t>09:39:53</t>
  </si>
  <si>
    <t>Команда</t>
  </si>
  <si>
    <t>10:52:17</t>
  </si>
  <si>
    <t>ГуГа</t>
  </si>
  <si>
    <t>10:29:40</t>
  </si>
  <si>
    <t>Олени</t>
  </si>
  <si>
    <t>10:38:56</t>
  </si>
  <si>
    <t>ЛЭТИ/СПбГУ</t>
  </si>
  <si>
    <t>10:55:14</t>
  </si>
  <si>
    <t>С переподвыподвертом</t>
  </si>
  <si>
    <t>10:54:36</t>
  </si>
  <si>
    <t>Mostly Harmless</t>
  </si>
  <si>
    <t>10:58:22</t>
  </si>
  <si>
    <t>Отвертка</t>
  </si>
  <si>
    <t>10:51:22</t>
  </si>
  <si>
    <t>ЗВЕЗДА-ЭНЕРГЕТИКА ОАО</t>
  </si>
  <si>
    <t>10:36:50</t>
  </si>
  <si>
    <t>БИЗНЕС</t>
  </si>
  <si>
    <t>строппинг</t>
  </si>
  <si>
    <t>РАКУРС</t>
  </si>
  <si>
    <t>03:12:51</t>
  </si>
  <si>
    <t>Форвард</t>
  </si>
  <si>
    <t>02:42:43</t>
  </si>
  <si>
    <t>КРЕПС - Сила!</t>
  </si>
  <si>
    <t>02:38:39</t>
  </si>
  <si>
    <t>DL - дикие лоеры</t>
  </si>
  <si>
    <t>03:12:33</t>
  </si>
  <si>
    <t>Альянс</t>
  </si>
  <si>
    <t>03:20:00</t>
  </si>
  <si>
    <t>Deloitte</t>
  </si>
  <si>
    <t>03:13:24</t>
  </si>
  <si>
    <t>KPMG</t>
  </si>
  <si>
    <t>03:42:49</t>
  </si>
  <si>
    <t>Билайн</t>
  </si>
  <si>
    <t>03:43:48</t>
  </si>
  <si>
    <t>OMHL</t>
  </si>
  <si>
    <t>02:53:48</t>
  </si>
  <si>
    <t>Персики</t>
  </si>
  <si>
    <t>03:01:47</t>
  </si>
  <si>
    <t>КПМП-2</t>
  </si>
  <si>
    <t>03:34:59</t>
  </si>
  <si>
    <t>БФА (2)</t>
  </si>
  <si>
    <t>03:52:26</t>
  </si>
  <si>
    <t>СТАРТ</t>
  </si>
  <si>
    <t>02:35:27</t>
  </si>
  <si>
    <t>БФА (3)</t>
  </si>
  <si>
    <t>03:25:28</t>
  </si>
  <si>
    <t>XXI век</t>
  </si>
  <si>
    <t>04:06:10</t>
  </si>
  <si>
    <t>Револьверы</t>
  </si>
  <si>
    <t>04:39:47</t>
  </si>
  <si>
    <t>БФА (1)</t>
  </si>
  <si>
    <t>03:56:42</t>
  </si>
  <si>
    <t>скало</t>
  </si>
  <si>
    <t>штраф треккинг</t>
  </si>
  <si>
    <t>штраф вело</t>
  </si>
  <si>
    <t>штраф байдарки</t>
  </si>
  <si>
    <t>штраф ролики</t>
  </si>
  <si>
    <t>штраф ориент.</t>
  </si>
  <si>
    <t>штраф коастеринг</t>
  </si>
  <si>
    <t>штраф ров</t>
  </si>
  <si>
    <t>нет карточки</t>
  </si>
  <si>
    <t>дырка</t>
  </si>
  <si>
    <t>класс</t>
  </si>
  <si>
    <t>штрафы</t>
  </si>
  <si>
    <t>штраф 3 часа</t>
  </si>
  <si>
    <t>штраф 2 часа</t>
  </si>
  <si>
    <t>штраф 1 час</t>
  </si>
  <si>
    <t>штраф 30 мин</t>
  </si>
  <si>
    <t>коэффициенты</t>
  </si>
  <si>
    <t>стрельба</t>
  </si>
  <si>
    <t>ребус</t>
  </si>
  <si>
    <t>гаи</t>
  </si>
  <si>
    <t>фотоо</t>
  </si>
  <si>
    <t>вышка</t>
  </si>
  <si>
    <t>спутник</t>
  </si>
  <si>
    <t>бег</t>
  </si>
  <si>
    <t>колодец</t>
  </si>
  <si>
    <t>путанка</t>
  </si>
  <si>
    <t>база</t>
  </si>
  <si>
    <t>фигурка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</si>
</sst>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h:mm;@"/>
    <numFmt numFmtId="171" formatCode="h:mm:ss;@"/>
    <numFmt numFmtId="172" formatCode="[h]:mm:ss;@"/>
    <numFmt numFmtId="173" formatCode="_-* #,##0.0_р_._-;\-* #,##0.0_р_._-;_-* &quot;-&quot;??_р_._-;_-@_-"/>
    <numFmt numFmtId="174" formatCode="_-* #\ #,#00_р_._-;\-* #\ #,#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0"/>
      <name val="Courier New Cyr"/>
      <family val="0"/>
    </font>
    <font>
      <b/>
      <sz val="28"/>
      <name val="Courier New Cyr"/>
      <family val="3"/>
    </font>
    <font>
      <sz val="10"/>
      <name val="Courier New Cyr"/>
      <family val="3"/>
    </font>
    <font>
      <b/>
      <sz val="8"/>
      <name val="Arial Cyr"/>
      <family val="0"/>
    </font>
    <font>
      <sz val="10"/>
      <name val="Arial Unicode MS"/>
      <family val="2"/>
    </font>
    <font>
      <sz val="8"/>
      <name val="Courier New Cyr"/>
      <family val="3"/>
    </font>
    <font>
      <b/>
      <sz val="10"/>
      <name val="Courier New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Courier New Cyr"/>
      <family val="0"/>
    </font>
    <font>
      <b/>
      <sz val="10"/>
      <color indexed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textRotation="90" wrapText="1"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2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3" fillId="0" borderId="0" xfId="0" applyFont="1" applyAlignment="1" quotePrefix="1">
      <alignment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wrapText="1"/>
    </xf>
    <xf numFmtId="49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" fontId="0" fillId="7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textRotation="90" wrapText="1"/>
    </xf>
    <xf numFmtId="49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6" fillId="0" borderId="1" xfId="18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172" fontId="6" fillId="0" borderId="0" xfId="0" applyNumberFormat="1" applyFont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textRotation="90" wrapText="1"/>
    </xf>
    <xf numFmtId="49" fontId="9" fillId="0" borderId="0" xfId="0" applyNumberFormat="1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72" fontId="9" fillId="0" borderId="0" xfId="0" applyNumberFormat="1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172" fontId="9" fillId="2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textRotation="90" wrapText="1"/>
    </xf>
    <xf numFmtId="0" fontId="0" fillId="6" borderId="0" xfId="0" applyFill="1" applyAlignment="1">
      <alignment horizontal="center"/>
    </xf>
    <xf numFmtId="172" fontId="6" fillId="6" borderId="1" xfId="0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1" xfId="0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 textRotation="90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72" fontId="6" fillId="5" borderId="1" xfId="0" applyNumberFormat="1" applyFont="1" applyFill="1" applyBorder="1" applyAlignment="1">
      <alignment horizontal="center"/>
    </xf>
    <xf numFmtId="172" fontId="6" fillId="5" borderId="7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72" fontId="15" fillId="6" borderId="1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10" fillId="5" borderId="1" xfId="0" applyNumberFormat="1" applyFont="1" applyFill="1" applyBorder="1" applyAlignment="1">
      <alignment horizontal="center"/>
    </xf>
    <xf numFmtId="172" fontId="10" fillId="6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15" fillId="5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S238"/>
  <sheetViews>
    <sheetView workbookViewId="0" topLeftCell="A1">
      <pane ySplit="1" topLeftCell="BM101" activePane="bottomLeft" state="frozen"/>
      <selection pane="topLeft" activeCell="D11" sqref="D11"/>
      <selection pane="bottomLeft" activeCell="O111" sqref="O111"/>
    </sheetView>
  </sheetViews>
  <sheetFormatPr defaultColWidth="9.00390625" defaultRowHeight="12.75" outlineLevelCol="1"/>
  <cols>
    <col min="1" max="1" width="38.00390625" style="0" hidden="1" customWidth="1" outlineLevel="1"/>
    <col min="2" max="2" width="0" style="0" hidden="1" customWidth="1" outlineLevel="1"/>
    <col min="3" max="3" width="25.00390625" style="0" hidden="1" customWidth="1" outlineLevel="1"/>
    <col min="4" max="4" width="8.875" style="0" hidden="1" customWidth="1" outlineLevel="1"/>
    <col min="5" max="5" width="6.125" style="1" customWidth="1" collapsed="1"/>
    <col min="6" max="6" width="7.25390625" style="66" customWidth="1"/>
    <col min="7" max="7" width="6.625" style="66" customWidth="1"/>
    <col min="8" max="8" width="7.375" style="66" customWidth="1"/>
    <col min="9" max="10" width="7.125" style="66" customWidth="1"/>
    <col min="11" max="11" width="7.375" style="66" customWidth="1"/>
    <col min="12" max="12" width="7.00390625" style="66" customWidth="1"/>
    <col min="13" max="14" width="8.875" style="66" customWidth="1"/>
  </cols>
  <sheetData>
    <row r="1" spans="1:14" ht="48.75" customHeight="1">
      <c r="A1" s="76" t="s">
        <v>563</v>
      </c>
      <c r="B1" s="76"/>
      <c r="E1" s="1" t="s">
        <v>0</v>
      </c>
      <c r="F1" s="2" t="s">
        <v>553</v>
      </c>
      <c r="G1" s="2" t="s">
        <v>554</v>
      </c>
      <c r="H1" s="2" t="s">
        <v>555</v>
      </c>
      <c r="I1" s="2" t="s">
        <v>556</v>
      </c>
      <c r="J1" s="2" t="s">
        <v>557</v>
      </c>
      <c r="K1" s="2" t="s">
        <v>558</v>
      </c>
      <c r="L1" s="2" t="s">
        <v>559</v>
      </c>
      <c r="M1" s="66">
        <v>60</v>
      </c>
      <c r="N1" s="66">
        <v>30</v>
      </c>
    </row>
    <row r="2" spans="1:19" ht="15.75">
      <c r="A2" s="3" t="s">
        <v>564</v>
      </c>
      <c r="B2" s="4">
        <v>180</v>
      </c>
      <c r="E2" s="1" t="s">
        <v>1</v>
      </c>
      <c r="F2" s="66">
        <v>0</v>
      </c>
      <c r="G2" s="66">
        <v>0</v>
      </c>
      <c r="H2" s="66">
        <v>0</v>
      </c>
      <c r="I2" s="66">
        <f>1*M1</f>
        <v>60</v>
      </c>
      <c r="J2" s="66">
        <v>0</v>
      </c>
      <c r="K2" s="66">
        <v>0</v>
      </c>
      <c r="L2" s="66">
        <v>0</v>
      </c>
      <c r="O2" s="65"/>
      <c r="P2" s="65"/>
      <c r="Q2" s="65"/>
      <c r="R2" s="65"/>
      <c r="S2" s="65"/>
    </row>
    <row r="3" spans="1:12" ht="15.75">
      <c r="A3" s="3" t="s">
        <v>565</v>
      </c>
      <c r="B3" s="4">
        <v>120</v>
      </c>
      <c r="C3" s="5"/>
      <c r="E3" s="1" t="s">
        <v>2</v>
      </c>
      <c r="F3" s="66">
        <v>0</v>
      </c>
      <c r="G3" s="66">
        <v>0</v>
      </c>
      <c r="H3" s="66">
        <v>0</v>
      </c>
      <c r="I3" s="66">
        <v>0</v>
      </c>
      <c r="J3" s="66">
        <f>3*N1</f>
        <v>90</v>
      </c>
      <c r="K3" s="66">
        <v>0</v>
      </c>
      <c r="L3" s="66">
        <v>0</v>
      </c>
    </row>
    <row r="4" spans="1:12" ht="15.75">
      <c r="A4" s="3" t="s">
        <v>566</v>
      </c>
      <c r="B4" s="4">
        <v>60</v>
      </c>
      <c r="C4" s="5"/>
      <c r="E4" s="1" t="s">
        <v>3</v>
      </c>
      <c r="F4" s="66">
        <f>26*N1</f>
        <v>780</v>
      </c>
      <c r="G4" s="66">
        <f>4*M1</f>
        <v>240</v>
      </c>
      <c r="H4" s="66">
        <v>0</v>
      </c>
      <c r="I4" s="66">
        <v>0</v>
      </c>
      <c r="J4" s="66">
        <f>1*N1</f>
        <v>30</v>
      </c>
      <c r="K4" s="66">
        <v>150</v>
      </c>
      <c r="L4" s="66">
        <f>4*N1</f>
        <v>120</v>
      </c>
    </row>
    <row r="5" spans="1:12" ht="15.75">
      <c r="A5" s="3" t="s">
        <v>567</v>
      </c>
      <c r="B5" s="4">
        <v>30</v>
      </c>
      <c r="E5" s="1" t="s">
        <v>4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</row>
    <row r="6" spans="5:12" ht="15.75">
      <c r="E6" s="1" t="s">
        <v>5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</row>
    <row r="7" spans="1:12" ht="15.75">
      <c r="A7" s="75" t="s">
        <v>568</v>
      </c>
      <c r="B7" s="75"/>
      <c r="E7" s="1" t="s">
        <v>6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ht="15.75">
      <c r="A8" s="6" t="s">
        <v>569</v>
      </c>
      <c r="B8" s="7">
        <v>0</v>
      </c>
      <c r="E8" s="1" t="s">
        <v>7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150</v>
      </c>
      <c r="L8" s="66">
        <v>0</v>
      </c>
    </row>
    <row r="9" spans="1:12" ht="15.75">
      <c r="A9" s="6" t="s">
        <v>570</v>
      </c>
      <c r="B9" s="7">
        <v>0</v>
      </c>
      <c r="E9" s="1" t="s">
        <v>8</v>
      </c>
      <c r="F9" s="66">
        <v>0</v>
      </c>
      <c r="G9" s="66">
        <f>2*M1</f>
        <v>120</v>
      </c>
      <c r="H9" s="66">
        <v>0</v>
      </c>
      <c r="I9" s="66">
        <v>0</v>
      </c>
      <c r="J9" s="66">
        <f>4*N1</f>
        <v>120</v>
      </c>
      <c r="K9" s="66">
        <v>150</v>
      </c>
      <c r="L9" s="66">
        <v>0</v>
      </c>
    </row>
    <row r="10" spans="1:12" ht="15.75">
      <c r="A10" s="6" t="s">
        <v>571</v>
      </c>
      <c r="B10" s="7">
        <v>0</v>
      </c>
      <c r="E10" s="1" t="s">
        <v>9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</row>
    <row r="11" spans="1:12" ht="15.75">
      <c r="A11" s="6" t="s">
        <v>572</v>
      </c>
      <c r="B11" s="7">
        <v>0</v>
      </c>
      <c r="E11" s="1" t="s">
        <v>10</v>
      </c>
      <c r="F11" s="66">
        <v>0</v>
      </c>
      <c r="G11" s="66">
        <f>9*M1</f>
        <v>540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</row>
    <row r="12" spans="1:12" ht="15.75">
      <c r="A12" s="6" t="s">
        <v>573</v>
      </c>
      <c r="B12" s="7">
        <v>0</v>
      </c>
      <c r="E12" s="1" t="s">
        <v>11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150</v>
      </c>
      <c r="L12" s="66">
        <v>0</v>
      </c>
    </row>
    <row r="13" spans="1:12" ht="15.75">
      <c r="A13" s="6" t="s">
        <v>574</v>
      </c>
      <c r="B13" s="7">
        <v>0</v>
      </c>
      <c r="E13" s="1" t="s">
        <v>12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150</v>
      </c>
      <c r="L13" s="66">
        <v>0</v>
      </c>
    </row>
    <row r="14" spans="1:12" ht="15.75">
      <c r="A14" s="6" t="s">
        <v>13</v>
      </c>
      <c r="B14" s="7">
        <v>0</v>
      </c>
      <c r="E14" s="1" t="s">
        <v>14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</row>
    <row r="15" spans="1:12" ht="15.75">
      <c r="A15" s="6" t="s">
        <v>575</v>
      </c>
      <c r="B15" s="7">
        <v>0</v>
      </c>
      <c r="E15" s="1" t="s">
        <v>15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ht="15.75">
      <c r="A16" s="6" t="s">
        <v>576</v>
      </c>
      <c r="B16" s="7">
        <v>0</v>
      </c>
      <c r="E16" s="1" t="s">
        <v>16</v>
      </c>
      <c r="F16" s="66">
        <f>1*N1</f>
        <v>30</v>
      </c>
      <c r="G16" s="66">
        <f>6*M1</f>
        <v>360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</row>
    <row r="17" spans="1:12" ht="15.75">
      <c r="A17" s="6" t="s">
        <v>577</v>
      </c>
      <c r="B17" s="7">
        <v>0</v>
      </c>
      <c r="E17" s="1" t="s">
        <v>17</v>
      </c>
      <c r="F17" s="66">
        <v>0</v>
      </c>
      <c r="G17" s="66">
        <f>15*M1</f>
        <v>900</v>
      </c>
      <c r="H17" s="66">
        <v>0</v>
      </c>
      <c r="I17" s="66">
        <v>0</v>
      </c>
      <c r="J17" s="66">
        <f>2*N1</f>
        <v>60</v>
      </c>
      <c r="K17" s="66">
        <v>0</v>
      </c>
      <c r="L17" s="66">
        <v>0</v>
      </c>
    </row>
    <row r="18" spans="1:12" ht="15.75">
      <c r="A18" s="6" t="s">
        <v>578</v>
      </c>
      <c r="B18" s="7">
        <v>0</v>
      </c>
      <c r="E18" s="1" t="s">
        <v>18</v>
      </c>
      <c r="F18" s="66">
        <v>0</v>
      </c>
      <c r="G18" s="66">
        <v>0</v>
      </c>
      <c r="H18" s="66">
        <v>0</v>
      </c>
      <c r="I18" s="66">
        <f>6*M1</f>
        <v>360</v>
      </c>
      <c r="J18" s="66">
        <v>0</v>
      </c>
      <c r="K18" s="66">
        <v>0</v>
      </c>
      <c r="L18" s="66">
        <v>0</v>
      </c>
    </row>
    <row r="19" spans="1:12" ht="15.75">
      <c r="A19" s="6" t="s">
        <v>579</v>
      </c>
      <c r="B19" s="7">
        <v>0</v>
      </c>
      <c r="E19" s="1" t="s">
        <v>19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</row>
    <row r="20" spans="5:12" ht="15.75">
      <c r="E20" s="1" t="s">
        <v>20</v>
      </c>
      <c r="F20" s="66">
        <v>0</v>
      </c>
      <c r="G20" s="66">
        <f>9*M1</f>
        <v>540</v>
      </c>
      <c r="H20" s="66">
        <v>0</v>
      </c>
      <c r="I20" s="66">
        <v>0</v>
      </c>
      <c r="J20" s="66">
        <f>3*N1</f>
        <v>90</v>
      </c>
      <c r="K20" s="66">
        <v>0</v>
      </c>
      <c r="L20" s="66">
        <v>0</v>
      </c>
    </row>
    <row r="21" spans="5:12" ht="15.75">
      <c r="E21" s="1" t="s">
        <v>21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5:12" ht="15.75">
      <c r="E22" s="1" t="s">
        <v>22</v>
      </c>
      <c r="F22" s="66">
        <v>0</v>
      </c>
      <c r="G22" s="66">
        <f>11*M1</f>
        <v>660</v>
      </c>
      <c r="H22" s="66">
        <v>0</v>
      </c>
      <c r="I22" s="66">
        <f>3*M1</f>
        <v>180</v>
      </c>
      <c r="J22" s="66">
        <v>0</v>
      </c>
      <c r="K22" s="66">
        <v>0</v>
      </c>
      <c r="L22" s="66">
        <v>0</v>
      </c>
    </row>
    <row r="23" spans="5:12" ht="15.75">
      <c r="E23" s="1" t="s">
        <v>23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</row>
    <row r="24" spans="5:12" ht="15.75">
      <c r="E24" s="1" t="s">
        <v>24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</row>
    <row r="25" spans="5:12" ht="15.75">
      <c r="E25" s="1" t="s">
        <v>25</v>
      </c>
      <c r="F25" s="66">
        <v>0</v>
      </c>
      <c r="G25" s="66">
        <v>0</v>
      </c>
      <c r="H25" s="66">
        <v>0</v>
      </c>
      <c r="I25" s="66">
        <f>6*M1</f>
        <v>360</v>
      </c>
      <c r="J25" s="66">
        <v>0</v>
      </c>
      <c r="K25" s="66">
        <v>0</v>
      </c>
      <c r="L25" s="66">
        <v>0</v>
      </c>
    </row>
    <row r="26" spans="5:12" ht="15.75">
      <c r="E26" s="1" t="s">
        <v>26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</row>
    <row r="27" spans="5:12" ht="15.75">
      <c r="E27" s="1" t="s">
        <v>27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</row>
    <row r="28" spans="4:12" ht="15.75">
      <c r="D28" s="8"/>
      <c r="E28" s="1" t="s">
        <v>28</v>
      </c>
      <c r="F28" s="66">
        <v>0</v>
      </c>
      <c r="G28" s="66">
        <f>7*M1</f>
        <v>420</v>
      </c>
      <c r="H28" s="66">
        <v>0</v>
      </c>
      <c r="I28" s="66">
        <f>6*M1</f>
        <v>360</v>
      </c>
      <c r="J28" s="66">
        <v>0</v>
      </c>
      <c r="K28" s="66">
        <v>150</v>
      </c>
      <c r="L28" s="66">
        <v>0</v>
      </c>
    </row>
    <row r="29" spans="5:12" ht="15.75">
      <c r="E29" s="1" t="s">
        <v>29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</row>
    <row r="30" spans="5:12" ht="15.75">
      <c r="E30" s="1" t="s">
        <v>30</v>
      </c>
      <c r="F30" s="66">
        <v>0</v>
      </c>
      <c r="G30" s="66">
        <f>5*M1</f>
        <v>300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</row>
    <row r="31" spans="5:12" ht="15.75">
      <c r="E31" s="1" t="s">
        <v>31</v>
      </c>
      <c r="F31" s="66">
        <v>0</v>
      </c>
      <c r="G31" s="66">
        <f>8*M1</f>
        <v>480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</row>
    <row r="32" spans="5:12" ht="15.75">
      <c r="E32" s="1" t="s">
        <v>32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</row>
    <row r="33" spans="5:12" ht="15.75">
      <c r="E33" s="1" t="s">
        <v>33</v>
      </c>
      <c r="F33" s="66">
        <v>0</v>
      </c>
      <c r="G33" s="66">
        <f>14*M1</f>
        <v>840</v>
      </c>
      <c r="H33" s="66">
        <f>2*M1</f>
        <v>120</v>
      </c>
      <c r="I33" s="66">
        <f>6*M1</f>
        <v>360</v>
      </c>
      <c r="J33" s="66">
        <f>6*N1</f>
        <v>180</v>
      </c>
      <c r="K33" s="66">
        <v>0</v>
      </c>
      <c r="L33" s="66">
        <v>0</v>
      </c>
    </row>
    <row r="34" spans="5:12" ht="15.75">
      <c r="E34" s="1" t="s">
        <v>34</v>
      </c>
      <c r="F34" s="66">
        <f>1*N1</f>
        <v>30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</row>
    <row r="35" spans="5:12" ht="15.75">
      <c r="E35" s="1" t="s">
        <v>35</v>
      </c>
      <c r="F35" s="66">
        <v>0</v>
      </c>
      <c r="G35" s="66">
        <f>3*M1</f>
        <v>180</v>
      </c>
      <c r="H35" s="66">
        <v>0</v>
      </c>
      <c r="I35" s="66">
        <f>6*M1</f>
        <v>360</v>
      </c>
      <c r="J35" s="66">
        <v>0</v>
      </c>
      <c r="K35" s="66">
        <v>0</v>
      </c>
      <c r="L35" s="66">
        <v>0</v>
      </c>
    </row>
    <row r="36" spans="5:12" ht="15.75">
      <c r="E36" s="1" t="s">
        <v>36</v>
      </c>
      <c r="F36" s="66">
        <v>0</v>
      </c>
      <c r="G36" s="66">
        <f>8*M1</f>
        <v>480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</row>
    <row r="37" spans="5:12" ht="15.75">
      <c r="E37" s="1" t="s">
        <v>37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</row>
    <row r="38" spans="5:12" ht="15.75">
      <c r="E38" s="1" t="s">
        <v>38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150</v>
      </c>
      <c r="L38" s="66">
        <v>0</v>
      </c>
    </row>
    <row r="39" spans="5:12" ht="15.75">
      <c r="E39" s="1" t="s">
        <v>39</v>
      </c>
      <c r="F39" s="66">
        <v>0</v>
      </c>
      <c r="G39" s="66">
        <f>6*M1</f>
        <v>360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</row>
    <row r="40" spans="5:12" ht="15.75">
      <c r="E40" s="1" t="s">
        <v>40</v>
      </c>
      <c r="F40" s="66">
        <f>1*N1</f>
        <v>30</v>
      </c>
      <c r="G40" s="66">
        <f>9*M1</f>
        <v>540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</row>
    <row r="41" spans="5:12" ht="15.75">
      <c r="E41" s="1" t="s">
        <v>41</v>
      </c>
      <c r="F41" s="66">
        <v>0</v>
      </c>
      <c r="G41" s="66">
        <f>9*M1</f>
        <v>540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</row>
    <row r="42" spans="5:12" ht="15.75">
      <c r="E42" s="1" t="s">
        <v>42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</row>
    <row r="43" spans="5:12" ht="15.75">
      <c r="E43" s="1" t="s">
        <v>43</v>
      </c>
      <c r="F43" s="66">
        <v>0</v>
      </c>
      <c r="G43" s="66">
        <f>1*M1</f>
        <v>60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</row>
    <row r="44" spans="5:12" ht="15.75">
      <c r="E44" s="1" t="s">
        <v>44</v>
      </c>
      <c r="F44" s="66">
        <v>0</v>
      </c>
      <c r="G44" s="66">
        <f>14*M1</f>
        <v>840</v>
      </c>
      <c r="H44" s="66">
        <v>0</v>
      </c>
      <c r="I44" s="66">
        <v>0</v>
      </c>
      <c r="J44" s="66">
        <f>5*N1</f>
        <v>150</v>
      </c>
      <c r="K44" s="66">
        <v>0</v>
      </c>
      <c r="L44" s="66">
        <v>0</v>
      </c>
    </row>
    <row r="45" spans="4:12" ht="15.75">
      <c r="D45" s="8"/>
      <c r="E45" s="1" t="s">
        <v>45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</row>
    <row r="46" spans="5:12" ht="15.75">
      <c r="E46" s="1" t="s">
        <v>46</v>
      </c>
      <c r="F46" s="66">
        <v>0</v>
      </c>
      <c r="G46" s="66">
        <f>16*M1</f>
        <v>960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</row>
    <row r="47" spans="5:12" ht="15.75">
      <c r="E47" s="1" t="s">
        <v>47</v>
      </c>
      <c r="F47" s="66">
        <v>0</v>
      </c>
      <c r="G47" s="66">
        <f>6*M1</f>
        <v>360</v>
      </c>
      <c r="H47" s="66">
        <v>0</v>
      </c>
      <c r="I47" s="66">
        <v>0</v>
      </c>
      <c r="J47" s="66">
        <v>0</v>
      </c>
      <c r="K47" s="66">
        <v>150</v>
      </c>
      <c r="L47" s="66">
        <v>0</v>
      </c>
    </row>
    <row r="48" spans="5:12" ht="15.75">
      <c r="E48" s="1" t="s">
        <v>48</v>
      </c>
      <c r="F48" s="66">
        <v>0</v>
      </c>
      <c r="G48" s="66">
        <f>13*M1</f>
        <v>780</v>
      </c>
      <c r="H48" s="66">
        <v>0</v>
      </c>
      <c r="I48" s="66">
        <v>0</v>
      </c>
      <c r="J48" s="66">
        <f>10*N1</f>
        <v>300</v>
      </c>
      <c r="K48" s="66">
        <v>0</v>
      </c>
      <c r="L48" s="66">
        <v>0</v>
      </c>
    </row>
    <row r="49" spans="5:12" ht="15.75">
      <c r="E49" s="1" t="s">
        <v>49</v>
      </c>
      <c r="F49" s="66">
        <v>0</v>
      </c>
      <c r="G49" s="66">
        <f>4*M1</f>
        <v>240</v>
      </c>
      <c r="H49" s="66">
        <f>3*M1</f>
        <v>180</v>
      </c>
      <c r="I49" s="66">
        <f>6*M1</f>
        <v>360</v>
      </c>
      <c r="J49" s="66">
        <f>14*N1</f>
        <v>420</v>
      </c>
      <c r="K49" s="66">
        <v>0</v>
      </c>
      <c r="L49" s="66">
        <v>0</v>
      </c>
    </row>
    <row r="50" spans="5:12" ht="15.75">
      <c r="E50" s="1" t="s">
        <v>50</v>
      </c>
      <c r="F50" s="66">
        <v>0</v>
      </c>
      <c r="G50" s="66">
        <f>5*M1</f>
        <v>300</v>
      </c>
      <c r="H50" s="66">
        <v>0</v>
      </c>
      <c r="I50" s="66">
        <f>6*M1</f>
        <v>360</v>
      </c>
      <c r="J50" s="66">
        <v>0</v>
      </c>
      <c r="K50" s="66">
        <v>0</v>
      </c>
      <c r="L50" s="66">
        <v>0</v>
      </c>
    </row>
    <row r="51" spans="5:12" ht="15.75">
      <c r="E51" s="1" t="s">
        <v>51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</row>
    <row r="52" spans="5:12" ht="15.75">
      <c r="E52" s="1" t="s">
        <v>52</v>
      </c>
      <c r="F52" s="66">
        <f>6*N1</f>
        <v>180</v>
      </c>
      <c r="G52" s="66">
        <f>13*M1</f>
        <v>780</v>
      </c>
      <c r="H52" s="66">
        <v>0</v>
      </c>
      <c r="I52" s="66">
        <v>0</v>
      </c>
      <c r="J52" s="66">
        <f>2*N1</f>
        <v>60</v>
      </c>
      <c r="K52" s="66">
        <v>0</v>
      </c>
      <c r="L52" s="66">
        <v>0</v>
      </c>
    </row>
    <row r="53" spans="5:12" ht="15.75">
      <c r="E53" s="1" t="s">
        <v>53</v>
      </c>
      <c r="F53" s="66">
        <v>0</v>
      </c>
      <c r="G53" s="66">
        <f>6*M1</f>
        <v>360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</row>
    <row r="54" spans="5:12" ht="15.75">
      <c r="E54" s="1" t="s">
        <v>54</v>
      </c>
      <c r="F54" s="66">
        <v>0</v>
      </c>
      <c r="G54" s="66">
        <f>15*M1</f>
        <v>900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</row>
    <row r="55" spans="5:12" ht="15.75">
      <c r="E55" s="1" t="s">
        <v>55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</row>
    <row r="56" spans="5:12" ht="15.75">
      <c r="E56" s="1" t="s">
        <v>56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</row>
    <row r="57" spans="5:12" ht="15.75">
      <c r="E57" s="1" t="s">
        <v>57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</row>
    <row r="58" spans="5:12" ht="15.75">
      <c r="E58" s="1" t="s">
        <v>58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</row>
    <row r="59" spans="5:12" ht="15.75">
      <c r="E59" s="1" t="s">
        <v>59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</row>
    <row r="60" spans="5:12" ht="15.75">
      <c r="E60" s="1" t="s">
        <v>60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</row>
    <row r="61" spans="5:12" ht="15.75">
      <c r="E61" s="1" t="s">
        <v>61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</row>
    <row r="62" spans="5:12" ht="15.75">
      <c r="E62" s="1" t="s">
        <v>62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</row>
    <row r="63" spans="5:12" ht="15.75">
      <c r="E63" s="1" t="s">
        <v>63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</row>
    <row r="64" spans="5:12" ht="15.75">
      <c r="E64" s="1" t="s">
        <v>64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</row>
    <row r="65" spans="5:12" ht="15.75">
      <c r="E65" s="1" t="s">
        <v>65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</row>
    <row r="66" spans="5:12" ht="15.75">
      <c r="E66" s="1" t="s">
        <v>66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</row>
    <row r="67" spans="5:12" ht="15.75">
      <c r="E67" s="1" t="s">
        <v>67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</row>
    <row r="68" spans="5:12" ht="15.75">
      <c r="E68" s="1" t="s">
        <v>68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</row>
    <row r="69" spans="5:12" ht="15.75">
      <c r="E69" s="1" t="s">
        <v>69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</row>
    <row r="70" spans="5:12" ht="15.75">
      <c r="E70" s="1" t="s">
        <v>70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</row>
    <row r="71" spans="5:12" ht="15.75">
      <c r="E71" s="1" t="s">
        <v>71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</row>
    <row r="72" spans="5:12" ht="15.75">
      <c r="E72" s="1" t="s">
        <v>72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</row>
    <row r="73" spans="5:12" ht="15.75">
      <c r="E73" s="1" t="s">
        <v>73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</row>
    <row r="74" spans="5:12" ht="15.75">
      <c r="E74" s="1" t="s">
        <v>74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</row>
    <row r="75" spans="5:12" ht="15.75">
      <c r="E75" s="1" t="s">
        <v>75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</row>
    <row r="76" spans="5:12" ht="15.75">
      <c r="E76" s="1" t="s">
        <v>76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</row>
    <row r="77" spans="5:12" ht="15.75">
      <c r="E77" s="1" t="s">
        <v>77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</row>
    <row r="78" spans="5:12" ht="15.75">
      <c r="E78" s="1" t="s">
        <v>78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</row>
    <row r="79" spans="5:12" ht="15.75">
      <c r="E79" s="1" t="s">
        <v>79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</row>
    <row r="80" spans="5:12" ht="15.75">
      <c r="E80" s="1" t="s">
        <v>80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</row>
    <row r="81" spans="5:12" ht="15.75">
      <c r="E81" s="1" t="s">
        <v>81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</row>
    <row r="82" spans="5:12" ht="15.75">
      <c r="E82" s="1" t="s">
        <v>82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</row>
    <row r="83" spans="5:12" ht="15.75">
      <c r="E83" s="1" t="s">
        <v>83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</row>
    <row r="84" spans="5:12" ht="15.75">
      <c r="E84" s="1" t="s">
        <v>84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</row>
    <row r="85" spans="5:12" ht="15.75">
      <c r="E85" s="1" t="s">
        <v>85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</row>
    <row r="86" spans="5:12" ht="15.75">
      <c r="E86" s="1" t="s">
        <v>86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</row>
    <row r="87" spans="5:12" ht="15.75">
      <c r="E87" s="1" t="s">
        <v>87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</row>
    <row r="88" spans="5:12" ht="15.75">
      <c r="E88" s="1" t="s">
        <v>88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</row>
    <row r="89" spans="5:12" ht="15.75">
      <c r="E89" s="1" t="s">
        <v>89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</row>
    <row r="90" spans="5:12" ht="15.75">
      <c r="E90" s="1" t="s">
        <v>90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</row>
    <row r="91" spans="5:12" ht="15.75">
      <c r="E91" s="1" t="s">
        <v>91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</row>
    <row r="92" spans="5:12" ht="15.75">
      <c r="E92" s="1" t="s">
        <v>92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</row>
    <row r="93" spans="5:12" ht="15.75">
      <c r="E93" s="1" t="s">
        <v>93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</row>
    <row r="94" spans="5:12" ht="15.75">
      <c r="E94" s="1" t="s">
        <v>94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</row>
    <row r="95" spans="5:12" ht="15.75">
      <c r="E95" s="1" t="s">
        <v>95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</row>
    <row r="96" spans="5:12" ht="15.75">
      <c r="E96" s="1" t="s">
        <v>96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</row>
    <row r="97" spans="5:12" ht="15.75">
      <c r="E97" s="1" t="s">
        <v>97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</row>
    <row r="98" spans="5:12" ht="15.75">
      <c r="E98" s="1" t="s">
        <v>98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</row>
    <row r="99" spans="5:12" ht="15.75">
      <c r="E99" s="1" t="s">
        <v>99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</row>
    <row r="100" spans="5:12" ht="15.75">
      <c r="E100" s="1" t="s">
        <v>100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</row>
    <row r="101" spans="5:12" ht="15.75">
      <c r="E101" s="1" t="s">
        <v>101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</row>
    <row r="102" spans="5:12" ht="15.75">
      <c r="E102" s="1" t="s">
        <v>102</v>
      </c>
      <c r="F102" s="66">
        <v>0</v>
      </c>
      <c r="G102" s="66">
        <v>0</v>
      </c>
      <c r="H102" s="66">
        <v>0</v>
      </c>
      <c r="I102" s="66">
        <f>6*M1</f>
        <v>360</v>
      </c>
      <c r="J102" s="66">
        <v>0</v>
      </c>
      <c r="K102" s="66">
        <v>0</v>
      </c>
      <c r="L102" s="66">
        <v>0</v>
      </c>
    </row>
    <row r="103" spans="5:12" ht="15.75">
      <c r="E103" s="1" t="s">
        <v>103</v>
      </c>
      <c r="F103" s="66">
        <f>1*N1</f>
        <v>30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</row>
    <row r="104" spans="5:12" ht="15.75">
      <c r="E104" s="1" t="s">
        <v>104</v>
      </c>
      <c r="F104" s="66">
        <f>2*N1</f>
        <v>60</v>
      </c>
      <c r="G104" s="66">
        <f>1*M1</f>
        <v>60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</row>
    <row r="105" spans="5:12" ht="15.75">
      <c r="E105" s="1" t="s">
        <v>105</v>
      </c>
      <c r="F105" s="66">
        <f>2*N1</f>
        <v>60</v>
      </c>
      <c r="G105" s="66">
        <f>12*M1</f>
        <v>720</v>
      </c>
      <c r="H105" s="66">
        <v>0</v>
      </c>
      <c r="I105" s="66">
        <v>0</v>
      </c>
      <c r="J105" s="66">
        <v>0</v>
      </c>
      <c r="K105" s="66">
        <v>0</v>
      </c>
      <c r="L105" s="66">
        <f>4*N1</f>
        <v>120</v>
      </c>
    </row>
    <row r="106" spans="5:12" ht="15.75">
      <c r="E106" s="1" t="s">
        <v>106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</row>
    <row r="107" spans="5:12" ht="15.75">
      <c r="E107" s="1" t="s">
        <v>107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</row>
    <row r="108" spans="5:12" ht="15.75">
      <c r="E108" s="1" t="s">
        <v>108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</row>
    <row r="109" spans="5:12" ht="15.75">
      <c r="E109" s="1" t="s">
        <v>109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</row>
    <row r="110" spans="5:12" ht="15.75">
      <c r="E110" s="1" t="s">
        <v>110</v>
      </c>
      <c r="F110" s="66">
        <f>22*N1</f>
        <v>660</v>
      </c>
      <c r="G110" s="66">
        <v>0</v>
      </c>
      <c r="H110" s="66">
        <v>0</v>
      </c>
      <c r="I110" s="66">
        <v>0</v>
      </c>
      <c r="J110" s="66">
        <v>0</v>
      </c>
      <c r="K110" s="66">
        <v>150</v>
      </c>
      <c r="L110" s="66">
        <v>0</v>
      </c>
    </row>
    <row r="111" spans="5:12" ht="15.75">
      <c r="E111" s="1" t="s">
        <v>111</v>
      </c>
      <c r="F111" s="66">
        <f>7*N1</f>
        <v>210</v>
      </c>
      <c r="G111" s="66">
        <v>0</v>
      </c>
      <c r="H111" s="66">
        <v>0</v>
      </c>
      <c r="I111" s="66">
        <v>0</v>
      </c>
      <c r="J111" s="66">
        <v>0</v>
      </c>
      <c r="K111" s="66">
        <f>1*N1</f>
        <v>30</v>
      </c>
      <c r="L111" s="66">
        <f>4*N1</f>
        <v>120</v>
      </c>
    </row>
    <row r="112" spans="5:12" ht="15.75">
      <c r="E112" s="1" t="s">
        <v>112</v>
      </c>
      <c r="F112" s="66">
        <v>0</v>
      </c>
      <c r="G112" s="66">
        <v>0</v>
      </c>
      <c r="H112" s="66">
        <v>0</v>
      </c>
      <c r="I112" s="66">
        <v>0</v>
      </c>
      <c r="J112" s="66">
        <f>2*N1</f>
        <v>60</v>
      </c>
      <c r="K112" s="66">
        <v>0</v>
      </c>
      <c r="L112" s="66">
        <v>0</v>
      </c>
    </row>
    <row r="113" spans="5:12" ht="15.75">
      <c r="E113" s="1" t="s">
        <v>113</v>
      </c>
      <c r="F113" s="66">
        <f>20*N1</f>
        <v>600</v>
      </c>
      <c r="G113" s="66">
        <v>0</v>
      </c>
      <c r="H113" s="66">
        <v>0</v>
      </c>
      <c r="I113" s="66">
        <v>0</v>
      </c>
      <c r="J113" s="66">
        <v>0</v>
      </c>
      <c r="K113" s="66">
        <v>150</v>
      </c>
      <c r="L113" s="66">
        <v>0</v>
      </c>
    </row>
    <row r="114" spans="5:12" ht="15.75">
      <c r="E114" s="1" t="s">
        <v>114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</row>
    <row r="115" spans="5:12" ht="15.75">
      <c r="E115" s="1" t="s">
        <v>115</v>
      </c>
      <c r="F115" s="66">
        <v>0</v>
      </c>
      <c r="G115" s="66">
        <v>0</v>
      </c>
      <c r="H115" s="66">
        <v>0</v>
      </c>
      <c r="I115" s="66">
        <v>0</v>
      </c>
      <c r="J115" s="66">
        <f>4*N1</f>
        <v>120</v>
      </c>
      <c r="K115" s="66">
        <v>0</v>
      </c>
      <c r="L115" s="66">
        <v>0</v>
      </c>
    </row>
    <row r="116" spans="5:12" ht="15.75">
      <c r="E116" s="1" t="s">
        <v>116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</row>
    <row r="117" spans="5:12" ht="15.75">
      <c r="E117" s="1" t="s">
        <v>117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</row>
    <row r="118" spans="5:12" ht="15.75">
      <c r="E118" s="1" t="s">
        <v>118</v>
      </c>
      <c r="F118" s="66">
        <f>1*N1</f>
        <v>30</v>
      </c>
      <c r="G118" s="66">
        <f>1*M1</f>
        <v>60</v>
      </c>
      <c r="H118" s="66">
        <v>0</v>
      </c>
      <c r="I118" s="66">
        <v>0</v>
      </c>
      <c r="J118" s="66">
        <f>7*N1</f>
        <v>210</v>
      </c>
      <c r="K118" s="66">
        <v>0</v>
      </c>
      <c r="L118" s="66">
        <v>0</v>
      </c>
    </row>
    <row r="119" spans="5:12" ht="15.75">
      <c r="E119" s="1" t="s">
        <v>119</v>
      </c>
      <c r="F119" s="66">
        <f>12*N1</f>
        <v>360</v>
      </c>
      <c r="G119" s="66">
        <v>0</v>
      </c>
      <c r="H119" s="66">
        <v>0</v>
      </c>
      <c r="I119" s="66">
        <v>0</v>
      </c>
      <c r="J119" s="66">
        <f>10*N1</f>
        <v>300</v>
      </c>
      <c r="K119" s="66">
        <v>150</v>
      </c>
      <c r="L119" s="66">
        <f>4*N1</f>
        <v>120</v>
      </c>
    </row>
    <row r="120" spans="5:12" ht="15.75">
      <c r="E120" s="1" t="s">
        <v>120</v>
      </c>
      <c r="F120" s="66">
        <v>0</v>
      </c>
      <c r="G120" s="66">
        <f>1*M1</f>
        <v>60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</row>
    <row r="121" spans="5:12" ht="15.75">
      <c r="E121" s="1" t="s">
        <v>121</v>
      </c>
      <c r="F121" s="66">
        <f>6*N1</f>
        <v>180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</row>
    <row r="122" spans="5:12" ht="15.75">
      <c r="E122" s="1" t="s">
        <v>122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</row>
    <row r="123" spans="5:12" ht="15.75">
      <c r="E123" s="1" t="s">
        <v>123</v>
      </c>
      <c r="F123" s="66">
        <f>26*N1</f>
        <v>780</v>
      </c>
      <c r="G123" s="66">
        <v>0</v>
      </c>
      <c r="H123" s="66">
        <v>0</v>
      </c>
      <c r="I123" s="66">
        <v>0</v>
      </c>
      <c r="J123" s="66">
        <v>0</v>
      </c>
      <c r="K123" s="66">
        <v>150</v>
      </c>
      <c r="L123" s="66">
        <f>1*N1</f>
        <v>30</v>
      </c>
    </row>
    <row r="124" spans="5:12" ht="15.75">
      <c r="E124" s="1" t="s">
        <v>124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</row>
    <row r="125" spans="5:12" ht="15.75">
      <c r="E125" s="1" t="s">
        <v>125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</row>
    <row r="126" spans="5:12" ht="15.75">
      <c r="E126" s="1" t="s">
        <v>126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</row>
    <row r="127" spans="5:12" ht="15.75">
      <c r="E127" s="1" t="s">
        <v>127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</row>
    <row r="128" spans="5:12" ht="15.75">
      <c r="E128" s="1" t="s">
        <v>128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</row>
    <row r="129" spans="5:12" ht="15.75">
      <c r="E129" s="1" t="s">
        <v>129</v>
      </c>
      <c r="F129" s="66">
        <v>0</v>
      </c>
      <c r="G129" s="66">
        <f>1*M1</f>
        <v>60</v>
      </c>
      <c r="H129" s="66">
        <v>0</v>
      </c>
      <c r="I129" s="66">
        <v>0</v>
      </c>
      <c r="J129" s="66">
        <v>0</v>
      </c>
      <c r="K129" s="66">
        <v>0</v>
      </c>
      <c r="L129" s="66">
        <f>4*N1</f>
        <v>120</v>
      </c>
    </row>
    <row r="130" spans="5:12" ht="15.75">
      <c r="E130" s="1" t="s">
        <v>130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</row>
    <row r="131" spans="5:12" ht="15.75">
      <c r="E131" s="1" t="s">
        <v>131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</row>
    <row r="132" spans="5:12" ht="15.75">
      <c r="E132" s="1" t="s">
        <v>132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</row>
    <row r="133" spans="5:12" ht="15.75">
      <c r="E133" s="1" t="s">
        <v>133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</row>
    <row r="134" spans="5:12" ht="15.75">
      <c r="E134" s="1" t="s">
        <v>134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</row>
    <row r="135" spans="5:12" ht="15.75">
      <c r="E135" s="1" t="s">
        <v>135</v>
      </c>
      <c r="F135" s="66">
        <f>1*N1</f>
        <v>30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</row>
    <row r="136" spans="5:12" ht="15.75">
      <c r="E136" s="1" t="s">
        <v>136</v>
      </c>
      <c r="F136" s="66">
        <f>26*N1</f>
        <v>780</v>
      </c>
      <c r="G136" s="66">
        <v>0</v>
      </c>
      <c r="H136" s="66">
        <v>0</v>
      </c>
      <c r="I136" s="66">
        <v>0</v>
      </c>
      <c r="J136" s="66">
        <v>0</v>
      </c>
      <c r="K136" s="66">
        <v>150</v>
      </c>
      <c r="L136" s="66">
        <v>0</v>
      </c>
    </row>
    <row r="137" spans="5:12" ht="15.75">
      <c r="E137" s="1" t="s">
        <v>137</v>
      </c>
      <c r="F137" s="66">
        <f>2*N1</f>
        <v>60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</row>
    <row r="138" spans="5:12" ht="15.75">
      <c r="E138" s="1" t="s">
        <v>138</v>
      </c>
      <c r="F138" s="66">
        <f>26*N1</f>
        <v>780</v>
      </c>
      <c r="G138" s="66">
        <v>0</v>
      </c>
      <c r="H138" s="66">
        <v>0</v>
      </c>
      <c r="I138" s="66">
        <f>3*M1</f>
        <v>180</v>
      </c>
      <c r="J138" s="66">
        <v>0</v>
      </c>
      <c r="K138" s="66">
        <v>150</v>
      </c>
      <c r="L138" s="66">
        <f>4*N1</f>
        <v>120</v>
      </c>
    </row>
    <row r="139" spans="5:12" ht="15.75">
      <c r="E139" s="1" t="s">
        <v>139</v>
      </c>
      <c r="F139" s="66">
        <f>26*N1</f>
        <v>780</v>
      </c>
      <c r="G139" s="66">
        <v>0</v>
      </c>
      <c r="H139" s="66">
        <v>0</v>
      </c>
      <c r="I139" s="66">
        <v>0</v>
      </c>
      <c r="J139" s="66">
        <f>13*N1</f>
        <v>390</v>
      </c>
      <c r="K139" s="66">
        <v>150</v>
      </c>
      <c r="L139" s="66">
        <f>4*N1</f>
        <v>120</v>
      </c>
    </row>
    <row r="140" spans="5:12" ht="15.75">
      <c r="E140" s="1" t="s">
        <v>140</v>
      </c>
      <c r="F140" s="66">
        <f>6*N1</f>
        <v>180</v>
      </c>
      <c r="G140" s="66">
        <v>0</v>
      </c>
      <c r="H140" s="66">
        <v>0</v>
      </c>
      <c r="I140" s="66">
        <v>0</v>
      </c>
      <c r="J140" s="66">
        <v>0</v>
      </c>
      <c r="K140" s="66">
        <v>150</v>
      </c>
      <c r="L140" s="66">
        <v>0</v>
      </c>
    </row>
    <row r="141" spans="5:12" ht="15.75">
      <c r="E141" s="1" t="s">
        <v>141</v>
      </c>
      <c r="F141" s="66">
        <f>1*N1</f>
        <v>30</v>
      </c>
      <c r="G141" s="66">
        <v>0</v>
      </c>
      <c r="H141" s="66">
        <v>0</v>
      </c>
      <c r="I141" s="66">
        <v>0</v>
      </c>
      <c r="J141" s="66">
        <f>3*N1</f>
        <v>90</v>
      </c>
      <c r="K141" s="66">
        <v>0</v>
      </c>
      <c r="L141" s="66">
        <v>0</v>
      </c>
    </row>
    <row r="142" spans="5:12" ht="15.75">
      <c r="E142" s="1" t="s">
        <v>142</v>
      </c>
      <c r="F142" s="66">
        <f>26*N1</f>
        <v>780</v>
      </c>
      <c r="G142" s="66">
        <v>0</v>
      </c>
      <c r="H142" s="66">
        <v>0</v>
      </c>
      <c r="I142" s="66">
        <v>0</v>
      </c>
      <c r="J142" s="66">
        <v>0</v>
      </c>
      <c r="K142" s="66">
        <v>150</v>
      </c>
      <c r="L142" s="66">
        <f>4*N1</f>
        <v>120</v>
      </c>
    </row>
    <row r="143" spans="5:12" ht="15.75">
      <c r="E143" s="1" t="s">
        <v>143</v>
      </c>
      <c r="F143" s="66">
        <f>4*N1</f>
        <v>120</v>
      </c>
      <c r="G143" s="66">
        <f>2*M1</f>
        <v>120</v>
      </c>
      <c r="H143" s="66">
        <v>0</v>
      </c>
      <c r="I143" s="66">
        <v>0</v>
      </c>
      <c r="J143" s="66">
        <v>0</v>
      </c>
      <c r="K143" s="66">
        <v>150</v>
      </c>
      <c r="L143" s="66">
        <v>0</v>
      </c>
    </row>
    <row r="144" spans="5:12" ht="15.75">
      <c r="E144" s="1" t="s">
        <v>144</v>
      </c>
      <c r="F144" s="66">
        <f>14*N1</f>
        <v>420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</row>
    <row r="145" spans="5:12" ht="15.75">
      <c r="E145" s="1" t="s">
        <v>145</v>
      </c>
      <c r="F145" s="66">
        <f>26*N1</f>
        <v>780</v>
      </c>
      <c r="G145" s="66">
        <f>3*M1</f>
        <v>180</v>
      </c>
      <c r="H145" s="66">
        <v>0</v>
      </c>
      <c r="I145" s="66">
        <f>3*M1</f>
        <v>180</v>
      </c>
      <c r="J145" s="66">
        <f>9*N1</f>
        <v>270</v>
      </c>
      <c r="K145" s="66">
        <v>150</v>
      </c>
      <c r="L145" s="66">
        <v>0</v>
      </c>
    </row>
    <row r="146" spans="5:12" ht="15.75">
      <c r="E146" s="1" t="s">
        <v>146</v>
      </c>
      <c r="F146" s="66">
        <f>26*N1</f>
        <v>780</v>
      </c>
      <c r="G146" s="66">
        <f>13*M1</f>
        <v>780</v>
      </c>
      <c r="H146" s="66">
        <v>0</v>
      </c>
      <c r="I146" s="66">
        <f>6*M1</f>
        <v>360</v>
      </c>
      <c r="J146" s="66">
        <f>11*N1</f>
        <v>330</v>
      </c>
      <c r="K146" s="66">
        <v>150</v>
      </c>
      <c r="L146" s="66">
        <f>4*N1</f>
        <v>120</v>
      </c>
    </row>
    <row r="147" spans="5:12" ht="15.75">
      <c r="E147" s="1" t="s">
        <v>147</v>
      </c>
      <c r="F147" s="66">
        <v>0</v>
      </c>
      <c r="G147" s="66">
        <f>1*M1</f>
        <v>60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5:12" ht="15.75">
      <c r="E148" s="1" t="s">
        <v>148</v>
      </c>
      <c r="F148" s="66">
        <f>26*N1</f>
        <v>780</v>
      </c>
      <c r="G148" s="66">
        <v>0</v>
      </c>
      <c r="H148" s="66">
        <v>0</v>
      </c>
      <c r="I148" s="66">
        <v>0</v>
      </c>
      <c r="J148" s="66">
        <v>0</v>
      </c>
      <c r="K148" s="66">
        <v>150</v>
      </c>
      <c r="L148" s="66">
        <f>4*N1</f>
        <v>120</v>
      </c>
    </row>
    <row r="149" spans="5:12" ht="15.75">
      <c r="E149" s="1" t="s">
        <v>149</v>
      </c>
      <c r="F149" s="66">
        <f>6*N1</f>
        <v>180</v>
      </c>
      <c r="G149" s="66">
        <f>1*M1</f>
        <v>60</v>
      </c>
      <c r="H149" s="66">
        <v>0</v>
      </c>
      <c r="I149" s="66">
        <v>0</v>
      </c>
      <c r="J149" s="66">
        <f>6*N1</f>
        <v>180</v>
      </c>
      <c r="K149" s="66">
        <v>150</v>
      </c>
      <c r="L149" s="66">
        <f>1*N1</f>
        <v>30</v>
      </c>
    </row>
    <row r="150" spans="5:12" ht="15.75">
      <c r="E150" s="1" t="s">
        <v>150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</row>
    <row r="151" spans="5:12" ht="15.75">
      <c r="E151" s="1" t="s">
        <v>151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</row>
    <row r="152" spans="5:12" ht="15.75">
      <c r="E152" s="1" t="s">
        <v>152</v>
      </c>
      <c r="F152" s="66">
        <f>26*N1</f>
        <v>780</v>
      </c>
      <c r="G152" s="66">
        <v>0</v>
      </c>
      <c r="H152" s="66">
        <v>0</v>
      </c>
      <c r="I152" s="66">
        <f>6*M1</f>
        <v>360</v>
      </c>
      <c r="J152" s="66">
        <f>7*N1</f>
        <v>210</v>
      </c>
      <c r="K152" s="66">
        <v>150</v>
      </c>
      <c r="L152" s="66">
        <f>1*N1</f>
        <v>30</v>
      </c>
    </row>
    <row r="153" spans="5:12" ht="15.75">
      <c r="E153" s="1" t="s">
        <v>153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</row>
    <row r="154" spans="5:12" ht="15.75">
      <c r="E154" s="1" t="s">
        <v>154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</row>
    <row r="155" spans="5:12" ht="15.75">
      <c r="E155" s="1" t="s">
        <v>155</v>
      </c>
      <c r="F155" s="66">
        <f>6*N1</f>
        <v>180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</row>
    <row r="156" spans="5:12" ht="15.75">
      <c r="E156" s="1" t="s">
        <v>156</v>
      </c>
      <c r="F156" s="66">
        <v>0</v>
      </c>
      <c r="G156" s="66">
        <v>0</v>
      </c>
      <c r="H156" s="66">
        <v>0</v>
      </c>
      <c r="I156" s="66">
        <v>0</v>
      </c>
      <c r="J156" s="66">
        <f>4*N1</f>
        <v>120</v>
      </c>
      <c r="K156" s="66">
        <v>0</v>
      </c>
      <c r="L156" s="66">
        <v>0</v>
      </c>
    </row>
    <row r="157" spans="5:12" ht="15.75">
      <c r="E157" s="1" t="s">
        <v>157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</row>
    <row r="158" spans="5:12" ht="15.75">
      <c r="E158" s="1" t="s">
        <v>158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</row>
    <row r="159" spans="5:12" ht="15.75">
      <c r="E159" s="1" t="s">
        <v>159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</row>
    <row r="160" spans="5:12" ht="15.75">
      <c r="E160" s="1" t="s">
        <v>160</v>
      </c>
      <c r="F160" s="66">
        <f>1*N1</f>
        <v>30</v>
      </c>
      <c r="G160" s="66">
        <v>0</v>
      </c>
      <c r="H160" s="66">
        <v>0</v>
      </c>
      <c r="I160" s="66">
        <v>0</v>
      </c>
      <c r="J160" s="66">
        <f>4*N1</f>
        <v>120</v>
      </c>
      <c r="K160" s="66">
        <v>0</v>
      </c>
      <c r="L160" s="66">
        <v>0</v>
      </c>
    </row>
    <row r="161" spans="5:12" ht="15.75">
      <c r="E161" s="1" t="s">
        <v>161</v>
      </c>
      <c r="F161" s="66">
        <f>15*N1</f>
        <v>450</v>
      </c>
      <c r="G161" s="66">
        <v>0</v>
      </c>
      <c r="H161" s="66">
        <v>0</v>
      </c>
      <c r="I161" s="66">
        <v>0</v>
      </c>
      <c r="J161" s="66">
        <f>1*N1</f>
        <v>30</v>
      </c>
      <c r="K161" s="66">
        <v>150</v>
      </c>
      <c r="L161" s="66">
        <v>0</v>
      </c>
    </row>
    <row r="162" spans="5:12" ht="15.75">
      <c r="E162" s="1" t="s">
        <v>162</v>
      </c>
      <c r="F162" s="66">
        <f>20*N1</f>
        <v>600</v>
      </c>
      <c r="G162" s="66">
        <f>10*M1</f>
        <v>600</v>
      </c>
      <c r="H162" s="66">
        <v>0</v>
      </c>
      <c r="I162" s="66">
        <f>3*M1</f>
        <v>180</v>
      </c>
      <c r="J162" s="66">
        <f>12*N1</f>
        <v>360</v>
      </c>
      <c r="K162" s="66">
        <v>0</v>
      </c>
      <c r="L162" s="66">
        <v>0</v>
      </c>
    </row>
    <row r="163" spans="5:12" ht="15.75">
      <c r="E163" s="1" t="s">
        <v>163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</row>
    <row r="164" spans="5:12" ht="15.75">
      <c r="E164" s="1" t="s">
        <v>164</v>
      </c>
      <c r="F164" s="66">
        <f>10*N1</f>
        <v>300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f>4*N1</f>
        <v>120</v>
      </c>
    </row>
    <row r="165" spans="5:12" ht="15.75">
      <c r="E165" s="1" t="s">
        <v>165</v>
      </c>
      <c r="F165" s="66">
        <f>26*N1</f>
        <v>780</v>
      </c>
      <c r="G165" s="66">
        <f>1*M1</f>
        <v>60</v>
      </c>
      <c r="H165" s="66">
        <v>0</v>
      </c>
      <c r="I165" s="66">
        <v>0</v>
      </c>
      <c r="J165" s="66">
        <v>0</v>
      </c>
      <c r="K165" s="66">
        <v>150</v>
      </c>
      <c r="L165" s="66">
        <v>0</v>
      </c>
    </row>
    <row r="166" spans="5:12" ht="15.75">
      <c r="E166" s="1" t="s">
        <v>166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</row>
    <row r="167" spans="5:12" ht="15.75">
      <c r="E167" s="1" t="s">
        <v>167</v>
      </c>
      <c r="F167" s="66">
        <f>26*N1</f>
        <v>780</v>
      </c>
      <c r="G167" s="66">
        <f>9*M1</f>
        <v>540</v>
      </c>
      <c r="H167" s="66">
        <v>0</v>
      </c>
      <c r="I167" s="66">
        <v>0</v>
      </c>
      <c r="J167" s="66">
        <f>5*N1</f>
        <v>150</v>
      </c>
      <c r="K167" s="66">
        <v>150</v>
      </c>
      <c r="L167" s="66">
        <f>4*N1</f>
        <v>120</v>
      </c>
    </row>
    <row r="168" spans="5:12" ht="15.75">
      <c r="E168" s="1" t="s">
        <v>168</v>
      </c>
      <c r="F168" s="66">
        <f>26*N1</f>
        <v>780</v>
      </c>
      <c r="G168" s="66">
        <f>4*M1</f>
        <v>240</v>
      </c>
      <c r="H168" s="66">
        <v>0</v>
      </c>
      <c r="I168" s="66">
        <v>0</v>
      </c>
      <c r="J168" s="66">
        <f>1*N1</f>
        <v>30</v>
      </c>
      <c r="K168" s="66">
        <v>150</v>
      </c>
      <c r="L168" s="66">
        <v>0</v>
      </c>
    </row>
    <row r="169" spans="5:12" ht="15.75">
      <c r="E169" s="1" t="s">
        <v>169</v>
      </c>
      <c r="F169" s="66">
        <f>26*N1</f>
        <v>780</v>
      </c>
      <c r="G169" s="66">
        <f>8*M1</f>
        <v>480</v>
      </c>
      <c r="H169" s="66">
        <v>0</v>
      </c>
      <c r="I169" s="66">
        <v>0</v>
      </c>
      <c r="J169" s="66">
        <v>0</v>
      </c>
      <c r="K169" s="66">
        <v>150</v>
      </c>
      <c r="L169" s="66">
        <f>4*N1</f>
        <v>120</v>
      </c>
    </row>
    <row r="170" spans="5:12" ht="15.75">
      <c r="E170" s="1" t="s">
        <v>170</v>
      </c>
      <c r="F170" s="66">
        <f>26*N1</f>
        <v>780</v>
      </c>
      <c r="G170" s="66">
        <f>2*M1</f>
        <v>120</v>
      </c>
      <c r="H170" s="66">
        <v>0</v>
      </c>
      <c r="I170" s="66">
        <v>0</v>
      </c>
      <c r="J170" s="66">
        <f>8*N1</f>
        <v>240</v>
      </c>
      <c r="K170" s="66">
        <v>150</v>
      </c>
      <c r="L170" s="66">
        <v>0</v>
      </c>
    </row>
    <row r="171" spans="5:12" ht="15.75">
      <c r="E171" s="1" t="s">
        <v>171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</row>
    <row r="172" spans="5:12" ht="15.75">
      <c r="E172" s="1" t="s">
        <v>172</v>
      </c>
      <c r="F172" s="66">
        <f>1*N1</f>
        <v>30</v>
      </c>
      <c r="G172" s="66">
        <f>11*M1</f>
        <v>660</v>
      </c>
      <c r="H172" s="66">
        <v>0</v>
      </c>
      <c r="I172" s="66">
        <f>6*M1</f>
        <v>360</v>
      </c>
      <c r="J172" s="66">
        <v>0</v>
      </c>
      <c r="K172" s="66">
        <v>0</v>
      </c>
      <c r="L172" s="66">
        <v>0</v>
      </c>
    </row>
    <row r="173" spans="5:12" ht="15.75">
      <c r="E173" s="1" t="s">
        <v>173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</row>
    <row r="174" spans="5:12" ht="15.75">
      <c r="E174" s="1" t="s">
        <v>174</v>
      </c>
      <c r="F174" s="66">
        <f>26*N1</f>
        <v>780</v>
      </c>
      <c r="G174" s="66">
        <f>11*M1</f>
        <v>660</v>
      </c>
      <c r="H174" s="66">
        <v>0</v>
      </c>
      <c r="I174" s="66">
        <f>6*M1</f>
        <v>360</v>
      </c>
      <c r="J174" s="66">
        <f>5*N1</f>
        <v>150</v>
      </c>
      <c r="K174" s="66">
        <v>150</v>
      </c>
      <c r="L174" s="66">
        <f>4*N1</f>
        <v>120</v>
      </c>
    </row>
    <row r="175" spans="5:12" ht="15.75">
      <c r="E175" s="1" t="s">
        <v>175</v>
      </c>
      <c r="F175" s="66">
        <f>26*N1</f>
        <v>780</v>
      </c>
      <c r="G175" s="66">
        <v>0</v>
      </c>
      <c r="H175" s="66">
        <v>0</v>
      </c>
      <c r="I175" s="66">
        <v>0</v>
      </c>
      <c r="J175" s="66">
        <f>5*N1</f>
        <v>150</v>
      </c>
      <c r="K175" s="66">
        <v>150</v>
      </c>
      <c r="L175" s="66">
        <f>1*N1</f>
        <v>30</v>
      </c>
    </row>
    <row r="176" spans="5:12" ht="15.75">
      <c r="E176" s="1" t="s">
        <v>176</v>
      </c>
      <c r="F176" s="66" t="s">
        <v>560</v>
      </c>
      <c r="G176" s="66" t="s">
        <v>560</v>
      </c>
      <c r="H176" s="66" t="s">
        <v>560</v>
      </c>
      <c r="I176" s="66" t="s">
        <v>560</v>
      </c>
      <c r="J176" s="66" t="s">
        <v>560</v>
      </c>
      <c r="K176" s="66" t="s">
        <v>560</v>
      </c>
      <c r="L176" s="66" t="s">
        <v>560</v>
      </c>
    </row>
    <row r="177" spans="5:12" ht="15.75">
      <c r="E177" s="1" t="s">
        <v>177</v>
      </c>
      <c r="F177" s="66">
        <f>1*N1</f>
        <v>30</v>
      </c>
      <c r="G177" s="66">
        <v>0</v>
      </c>
      <c r="H177" s="66">
        <v>0</v>
      </c>
      <c r="I177" s="66">
        <f>1*M1</f>
        <v>60</v>
      </c>
      <c r="J177" s="66">
        <f>4*N1</f>
        <v>120</v>
      </c>
      <c r="K177" s="66">
        <v>0</v>
      </c>
      <c r="L177" s="66">
        <v>0</v>
      </c>
    </row>
    <row r="178" spans="5:12" ht="15.75">
      <c r="E178" s="1" t="s">
        <v>178</v>
      </c>
      <c r="F178" s="66">
        <f>26*N1</f>
        <v>780</v>
      </c>
      <c r="G178" s="66">
        <v>0</v>
      </c>
      <c r="H178" s="66">
        <v>0</v>
      </c>
      <c r="I178" s="66">
        <v>0</v>
      </c>
      <c r="J178" s="66">
        <v>0</v>
      </c>
      <c r="K178" s="66">
        <v>150</v>
      </c>
      <c r="L178" s="66">
        <f>4*N1</f>
        <v>120</v>
      </c>
    </row>
    <row r="179" spans="5:12" ht="15.75">
      <c r="E179" s="1" t="s">
        <v>179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</row>
    <row r="180" spans="5:12" ht="15.75">
      <c r="E180" s="1" t="s">
        <v>180</v>
      </c>
      <c r="F180" s="66">
        <v>0</v>
      </c>
      <c r="G180" s="66">
        <v>0</v>
      </c>
      <c r="H180" s="66">
        <v>0</v>
      </c>
      <c r="I180" s="66">
        <v>0</v>
      </c>
      <c r="J180" s="66">
        <f>3*N1</f>
        <v>90</v>
      </c>
      <c r="K180" s="66">
        <v>0</v>
      </c>
      <c r="L180" s="66">
        <v>0</v>
      </c>
    </row>
    <row r="181" spans="5:12" ht="15.75">
      <c r="E181" s="1" t="s">
        <v>181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</row>
    <row r="182" spans="5:12" ht="15.75">
      <c r="E182" s="1" t="s">
        <v>182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</row>
    <row r="183" spans="5:12" ht="15.75">
      <c r="E183" s="1" t="s">
        <v>183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</row>
    <row r="184" spans="5:12" ht="15.75">
      <c r="E184" s="1" t="s">
        <v>184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</row>
    <row r="185" spans="5:12" ht="15.75">
      <c r="E185" s="1" t="s">
        <v>185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</row>
    <row r="186" spans="5:12" ht="15.75">
      <c r="E186" s="1" t="s">
        <v>186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</row>
    <row r="187" spans="5:12" ht="15.75">
      <c r="E187" s="1" t="s">
        <v>187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</row>
    <row r="188" spans="5:12" ht="15.75">
      <c r="E188" s="1" t="s">
        <v>188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</row>
    <row r="189" spans="5:12" ht="15.75">
      <c r="E189" s="1" t="s">
        <v>189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</row>
    <row r="190" spans="5:12" ht="15.75">
      <c r="E190" s="1" t="s">
        <v>190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</row>
    <row r="191" spans="5:12" ht="15.75">
      <c r="E191" s="1" t="s">
        <v>191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</row>
    <row r="192" spans="5:12" ht="15.75">
      <c r="E192" s="1" t="s">
        <v>192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</row>
    <row r="193" spans="5:12" ht="15.75">
      <c r="E193" s="1" t="s">
        <v>193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</row>
    <row r="194" spans="5:12" ht="15.75">
      <c r="E194" s="1" t="s">
        <v>194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</row>
    <row r="195" spans="5:12" ht="15.75">
      <c r="E195" s="1" t="s">
        <v>195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</row>
    <row r="196" spans="5:12" ht="15.75">
      <c r="E196" s="1" t="s">
        <v>196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</row>
    <row r="197" spans="5:12" ht="15.75">
      <c r="E197" s="1" t="s">
        <v>197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</row>
    <row r="198" spans="5:12" ht="15.75">
      <c r="E198" s="1" t="s">
        <v>198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</row>
    <row r="199" spans="5:12" ht="15.75">
      <c r="E199" s="1" t="s">
        <v>199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</row>
    <row r="200" spans="5:12" ht="15.75">
      <c r="E200" s="1" t="s">
        <v>200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</row>
    <row r="201" spans="5:12" ht="15.75">
      <c r="E201" s="9" t="s">
        <v>201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</row>
    <row r="202" spans="5:12" ht="15.75">
      <c r="E202" s="9" t="s">
        <v>202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</row>
    <row r="203" spans="5:12" ht="15.75">
      <c r="E203" s="9" t="s">
        <v>203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</row>
    <row r="204" spans="5:12" ht="15.75">
      <c r="E204" s="9" t="s">
        <v>204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</row>
    <row r="205" spans="5:12" ht="15.75">
      <c r="E205" s="9" t="s">
        <v>205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</row>
    <row r="206" spans="5:12" ht="15.75">
      <c r="E206" s="9" t="s">
        <v>206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</row>
    <row r="207" spans="5:12" ht="15.75">
      <c r="E207" s="9" t="s">
        <v>207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</row>
    <row r="208" spans="5:12" ht="15.75">
      <c r="E208" s="9" t="s">
        <v>208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</row>
    <row r="209" spans="5:12" ht="15.75">
      <c r="E209" s="9" t="s">
        <v>209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</row>
    <row r="210" spans="5:12" ht="15.75">
      <c r="E210" s="9" t="s">
        <v>210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</row>
    <row r="211" spans="5:12" ht="15.75">
      <c r="E211" s="9" t="s">
        <v>211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</row>
    <row r="212" spans="5:12" ht="15.75">
      <c r="E212" s="9" t="s">
        <v>212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</row>
    <row r="213" spans="5:12" ht="15.75">
      <c r="E213" s="9" t="s">
        <v>213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</row>
    <row r="214" spans="5:12" ht="15.75">
      <c r="E214" s="9" t="s">
        <v>214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</row>
    <row r="215" spans="5:12" ht="15.75">
      <c r="E215" s="9" t="s">
        <v>215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</row>
    <row r="216" spans="5:12" ht="15.75">
      <c r="E216" s="9" t="s">
        <v>216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</row>
    <row r="217" spans="5:12" ht="15.75">
      <c r="E217" s="9" t="s">
        <v>217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</row>
    <row r="218" spans="5:12" ht="15.75">
      <c r="E218" s="9" t="s">
        <v>218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</row>
    <row r="219" spans="5:12" ht="15.75">
      <c r="E219" s="9" t="s">
        <v>219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</row>
    <row r="220" spans="5:12" ht="15.75">
      <c r="E220" s="9" t="s">
        <v>220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</row>
    <row r="221" spans="5:12" ht="15.75">
      <c r="E221" s="9" t="s">
        <v>221</v>
      </c>
      <c r="F221" s="66"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</row>
    <row r="222" spans="5:12" ht="15.75">
      <c r="E222" s="9" t="s">
        <v>222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</row>
    <row r="223" spans="5:12" ht="15.75">
      <c r="E223" s="9" t="s">
        <v>223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</row>
    <row r="224" spans="5:12" ht="15.75">
      <c r="E224" s="9" t="s">
        <v>224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</row>
    <row r="225" spans="5:12" ht="15.75">
      <c r="E225" s="9" t="s">
        <v>225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66">
        <v>0</v>
      </c>
    </row>
    <row r="226" spans="5:12" ht="15.75">
      <c r="E226" s="9" t="s">
        <v>226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</row>
    <row r="227" spans="5:12" ht="15.75">
      <c r="E227" s="9" t="s">
        <v>227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</row>
    <row r="228" spans="5:12" ht="15.75">
      <c r="E228" s="9" t="s">
        <v>228</v>
      </c>
      <c r="F228" s="6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</row>
    <row r="229" spans="5:12" ht="15.75">
      <c r="E229" s="9" t="s">
        <v>229</v>
      </c>
      <c r="F229" s="66">
        <v>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66">
        <v>0</v>
      </c>
    </row>
    <row r="230" spans="5:12" ht="15.75">
      <c r="E230" s="9" t="s">
        <v>230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</row>
    <row r="231" spans="5:12" ht="15.75">
      <c r="E231" s="9" t="s">
        <v>231</v>
      </c>
      <c r="F231" s="66">
        <v>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</row>
    <row r="232" spans="5:12" ht="15.75">
      <c r="E232" s="9" t="s">
        <v>232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</row>
    <row r="233" spans="5:12" ht="15.75">
      <c r="E233" s="9" t="s">
        <v>233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</row>
    <row r="234" spans="5:12" ht="15.75">
      <c r="E234" s="9" t="s">
        <v>234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</row>
    <row r="235" spans="5:12" ht="15.75">
      <c r="E235" s="9" t="s">
        <v>235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</row>
    <row r="236" spans="5:12" ht="15.75">
      <c r="E236" s="9" t="s">
        <v>236</v>
      </c>
      <c r="F236" s="66">
        <v>0</v>
      </c>
      <c r="G236" s="66">
        <v>0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</row>
    <row r="237" spans="5:12" ht="15.75">
      <c r="E237" s="9" t="s">
        <v>237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</row>
    <row r="238" spans="5:12" ht="15.75">
      <c r="E238" s="9" t="s">
        <v>238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</row>
  </sheetData>
  <mergeCells count="2">
    <mergeCell ref="A7:B7"/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X87"/>
  <sheetViews>
    <sheetView tabSelected="1" view="pageBreakPreview" zoomScaleSheetLayoutView="100" workbookViewId="0" topLeftCell="A1">
      <pane ySplit="3" topLeftCell="BM4" activePane="bottomLeft" state="frozen"/>
      <selection pane="topLeft" activeCell="D11" sqref="D11"/>
      <selection pane="bottomLeft" activeCell="C28" sqref="C28"/>
    </sheetView>
  </sheetViews>
  <sheetFormatPr defaultColWidth="9.00390625" defaultRowHeight="12.75"/>
  <cols>
    <col min="1" max="1" width="8.875" style="20" customWidth="1"/>
    <col min="2" max="2" width="6.125" style="14" customWidth="1"/>
    <col min="3" max="3" width="27.875" style="14" customWidth="1"/>
    <col min="4" max="4" width="5.00390625" style="20" customWidth="1"/>
    <col min="5" max="5" width="11.00390625" style="20" customWidth="1"/>
    <col min="6" max="6" width="9.00390625" style="20" customWidth="1"/>
    <col min="7" max="7" width="7.625" style="20" customWidth="1"/>
    <col min="8" max="14" width="4.375" style="20" customWidth="1"/>
    <col min="15" max="15" width="11.375" style="29" customWidth="1"/>
    <col min="16" max="29" width="10.375" style="20" customWidth="1"/>
    <col min="30" max="33" width="10.375" style="14" customWidth="1"/>
    <col min="34" max="37" width="10.375" style="13" customWidth="1"/>
    <col min="38" max="40" width="10.375" style="20" customWidth="1"/>
    <col min="41" max="43" width="10.375" style="14" customWidth="1"/>
    <col min="44" max="45" width="10.375" style="20" customWidth="1"/>
    <col min="46" max="46" width="10.375" style="14" customWidth="1"/>
    <col min="47" max="50" width="9.125" style="38" customWidth="1"/>
    <col min="51" max="16384" width="12.625" style="14" customWidth="1"/>
  </cols>
  <sheetData>
    <row r="1" spans="2:50" ht="13.5" customHeight="1">
      <c r="B1" s="81" t="s">
        <v>239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10" t="s">
        <v>240</v>
      </c>
      <c r="Q1" s="11" t="s">
        <v>240</v>
      </c>
      <c r="R1" s="88" t="s">
        <v>241</v>
      </c>
      <c r="S1" s="79"/>
      <c r="T1" s="77" t="s">
        <v>242</v>
      </c>
      <c r="U1" s="78"/>
      <c r="V1" s="88" t="s">
        <v>243</v>
      </c>
      <c r="W1" s="79"/>
      <c r="X1" s="79"/>
      <c r="Y1" s="78" t="s">
        <v>244</v>
      </c>
      <c r="Z1" s="78"/>
      <c r="AA1" s="87"/>
      <c r="AB1" s="88" t="s">
        <v>245</v>
      </c>
      <c r="AC1" s="79"/>
      <c r="AD1" s="79"/>
      <c r="AE1" s="78" t="s">
        <v>561</v>
      </c>
      <c r="AF1" s="78"/>
      <c r="AG1" s="87"/>
      <c r="AH1" s="10" t="s">
        <v>246</v>
      </c>
      <c r="AI1" s="78" t="s">
        <v>247</v>
      </c>
      <c r="AJ1" s="78"/>
      <c r="AK1" s="12" t="s">
        <v>248</v>
      </c>
      <c r="AL1" s="78" t="s">
        <v>249</v>
      </c>
      <c r="AM1" s="78"/>
      <c r="AN1" s="87"/>
      <c r="AO1" s="79" t="s">
        <v>250</v>
      </c>
      <c r="AP1" s="79"/>
      <c r="AQ1" s="80"/>
      <c r="AR1" s="77" t="s">
        <v>13</v>
      </c>
      <c r="AS1" s="78"/>
      <c r="AT1" s="78"/>
      <c r="AU1" s="39" t="s">
        <v>243</v>
      </c>
      <c r="AV1" s="39" t="s">
        <v>249</v>
      </c>
      <c r="AW1" s="39" t="s">
        <v>250</v>
      </c>
      <c r="AX1" s="39" t="s">
        <v>13</v>
      </c>
    </row>
    <row r="2" spans="1:50" s="15" customFormat="1" ht="60" customHeight="1">
      <c r="A2" s="69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47" t="s">
        <v>251</v>
      </c>
      <c r="Q2" s="53" t="s">
        <v>251</v>
      </c>
      <c r="R2" s="47" t="s">
        <v>252</v>
      </c>
      <c r="S2" s="47" t="s">
        <v>253</v>
      </c>
      <c r="T2" s="53" t="s">
        <v>252</v>
      </c>
      <c r="U2" s="53" t="s">
        <v>253</v>
      </c>
      <c r="V2" s="47" t="s">
        <v>254</v>
      </c>
      <c r="W2" s="47" t="s">
        <v>255</v>
      </c>
      <c r="X2" s="47" t="s">
        <v>256</v>
      </c>
      <c r="Y2" s="53" t="s">
        <v>254</v>
      </c>
      <c r="Z2" s="53" t="s">
        <v>255</v>
      </c>
      <c r="AA2" s="53" t="s">
        <v>256</v>
      </c>
      <c r="AB2" s="47" t="s">
        <v>254</v>
      </c>
      <c r="AC2" s="47" t="s">
        <v>255</v>
      </c>
      <c r="AD2" s="47" t="s">
        <v>256</v>
      </c>
      <c r="AE2" s="53" t="s">
        <v>254</v>
      </c>
      <c r="AF2" s="53" t="s">
        <v>255</v>
      </c>
      <c r="AG2" s="53" t="s">
        <v>256</v>
      </c>
      <c r="AH2" s="47" t="s">
        <v>251</v>
      </c>
      <c r="AI2" s="53" t="s">
        <v>252</v>
      </c>
      <c r="AJ2" s="53" t="s">
        <v>253</v>
      </c>
      <c r="AK2" s="47" t="s">
        <v>251</v>
      </c>
      <c r="AL2" s="53" t="s">
        <v>254</v>
      </c>
      <c r="AM2" s="53" t="s">
        <v>255</v>
      </c>
      <c r="AN2" s="53" t="s">
        <v>256</v>
      </c>
      <c r="AO2" s="47" t="s">
        <v>254</v>
      </c>
      <c r="AP2" s="47" t="s">
        <v>255</v>
      </c>
      <c r="AQ2" s="47" t="s">
        <v>256</v>
      </c>
      <c r="AR2" s="53" t="s">
        <v>254</v>
      </c>
      <c r="AS2" s="53" t="s">
        <v>255</v>
      </c>
      <c r="AT2" s="53" t="s">
        <v>256</v>
      </c>
      <c r="AU2" s="40" t="s">
        <v>255</v>
      </c>
      <c r="AV2" s="40" t="s">
        <v>255</v>
      </c>
      <c r="AW2" s="40" t="s">
        <v>255</v>
      </c>
      <c r="AX2" s="40" t="s">
        <v>255</v>
      </c>
    </row>
    <row r="3" spans="1:50" s="20" customFormat="1" ht="41.25" customHeight="1">
      <c r="A3" s="34" t="s">
        <v>257</v>
      </c>
      <c r="B3" s="16" t="s">
        <v>562</v>
      </c>
      <c r="C3" s="16" t="s">
        <v>258</v>
      </c>
      <c r="D3" s="16" t="s">
        <v>0</v>
      </c>
      <c r="E3" s="17" t="s">
        <v>259</v>
      </c>
      <c r="F3" s="18" t="s">
        <v>260</v>
      </c>
      <c r="G3" s="19" t="s">
        <v>261</v>
      </c>
      <c r="H3" s="2" t="s">
        <v>553</v>
      </c>
      <c r="I3" s="2" t="s">
        <v>554</v>
      </c>
      <c r="J3" s="2" t="s">
        <v>555</v>
      </c>
      <c r="K3" s="2" t="s">
        <v>556</v>
      </c>
      <c r="L3" s="2" t="s">
        <v>557</v>
      </c>
      <c r="M3" s="2" t="s">
        <v>558</v>
      </c>
      <c r="N3" s="2" t="s">
        <v>559</v>
      </c>
      <c r="O3" s="62" t="s">
        <v>262</v>
      </c>
      <c r="P3" s="48">
        <v>200</v>
      </c>
      <c r="Q3" s="59">
        <v>200</v>
      </c>
      <c r="R3" s="50">
        <v>102</v>
      </c>
      <c r="S3" s="50">
        <v>102</v>
      </c>
      <c r="T3" s="55">
        <v>103</v>
      </c>
      <c r="U3" s="55">
        <v>103</v>
      </c>
      <c r="V3" s="50">
        <v>104</v>
      </c>
      <c r="W3" s="50">
        <v>104</v>
      </c>
      <c r="X3" s="50">
        <v>204</v>
      </c>
      <c r="Y3" s="59">
        <v>105</v>
      </c>
      <c r="Z3" s="59">
        <v>105</v>
      </c>
      <c r="AA3" s="59">
        <v>205</v>
      </c>
      <c r="AB3" s="50">
        <v>106</v>
      </c>
      <c r="AC3" s="50">
        <v>106</v>
      </c>
      <c r="AD3" s="50">
        <v>206</v>
      </c>
      <c r="AE3" s="55">
        <v>107</v>
      </c>
      <c r="AF3" s="56">
        <v>107</v>
      </c>
      <c r="AG3" s="60">
        <v>207</v>
      </c>
      <c r="AH3" s="50">
        <v>108</v>
      </c>
      <c r="AI3" s="55">
        <v>111</v>
      </c>
      <c r="AJ3" s="55">
        <v>111</v>
      </c>
      <c r="AK3" s="50">
        <v>112</v>
      </c>
      <c r="AL3" s="59">
        <v>113</v>
      </c>
      <c r="AM3" s="59">
        <v>113</v>
      </c>
      <c r="AN3" s="59">
        <v>213</v>
      </c>
      <c r="AO3" s="50">
        <v>115</v>
      </c>
      <c r="AP3" s="51">
        <v>115</v>
      </c>
      <c r="AQ3" s="52">
        <v>215</v>
      </c>
      <c r="AR3" s="55">
        <v>116</v>
      </c>
      <c r="AS3" s="55">
        <v>116</v>
      </c>
      <c r="AT3" s="32">
        <v>216</v>
      </c>
      <c r="AU3" s="41">
        <v>104</v>
      </c>
      <c r="AV3" s="41">
        <v>113</v>
      </c>
      <c r="AW3" s="41">
        <v>115</v>
      </c>
      <c r="AX3" s="41">
        <v>116</v>
      </c>
    </row>
    <row r="4" spans="1:50" s="20" customFormat="1" ht="13.5">
      <c r="A4" s="70" t="s">
        <v>1</v>
      </c>
      <c r="B4" s="21" t="s">
        <v>275</v>
      </c>
      <c r="C4" s="22" t="s">
        <v>276</v>
      </c>
      <c r="D4" s="23" t="s">
        <v>159</v>
      </c>
      <c r="E4" s="23" t="s">
        <v>277</v>
      </c>
      <c r="F4" s="24">
        <f aca="true" t="shared" si="0" ref="F4:F35">W4-V4+Z4-Y4+AC4-AB4+AF4-AE4+AM4-AL4+AP4-AO4+AS4-AR4</f>
        <v>0.006597222222222199</v>
      </c>
      <c r="G4" s="25">
        <f>(5-COUNT(V4,Y4,AB4,AE4,AH4))*'штрафы-карточка'!$B$4+(4-COUNT(AK4,AL4,AO4,AR4))*'штрафы-карточка'!$B$5+(7-COUNT(X4,AA4,AD4,AG4,AN4,AQ4,AT4))*'штрафы-карточка'!$B$3</f>
        <v>0</v>
      </c>
      <c r="H4" s="26">
        <f>VLOOKUP(D4,'штрафы-карточка'!$E$2:$L$300,2,FALSE)</f>
        <v>0</v>
      </c>
      <c r="I4" s="26">
        <f>VLOOKUP(D4,'штрафы-карточка'!$E$2:$L$300,3,FALSE)</f>
        <v>0</v>
      </c>
      <c r="J4" s="26">
        <f>VLOOKUP(D4,'штрафы-карточка'!$E$2:$L$300,4,FALSE)</f>
        <v>0</v>
      </c>
      <c r="K4" s="26">
        <f>VLOOKUP(D4,'штрафы-карточка'!$E$2:$L$300,5,FALSE)</f>
        <v>0</v>
      </c>
      <c r="L4" s="26">
        <f>VLOOKUP(D4,'штрафы-карточка'!$E$2:$L$300,6,FALSE)</f>
        <v>0</v>
      </c>
      <c r="M4" s="26">
        <f>VLOOKUP(D4,'штрафы-карточка'!$E$2:$L$300,7,FALSE)</f>
        <v>0</v>
      </c>
      <c r="N4" s="26">
        <f>VLOOKUP(D4,'штрафы-карточка'!$E$2:$L$300,8,FALSE)</f>
        <v>0</v>
      </c>
      <c r="O4" s="61">
        <f aca="true" t="shared" si="1" ref="O4:O35">E4-F4+TIME(0,G4,0)+TIME(0,H4,0)+TIME(0,I4,0)+TIME(0,J4,0)+TIME(0,K4,0)+TIME(0,L4,0)+TIME(0,M4,0)+TIME(0,N4,0)</f>
        <v>0.3212152777777778</v>
      </c>
      <c r="P4" s="49">
        <v>0.007442129629629629</v>
      </c>
      <c r="Q4" s="57">
        <v>0.23291666666666666</v>
      </c>
      <c r="R4" s="49">
        <v>0.1208449074074074</v>
      </c>
      <c r="S4" s="49">
        <v>0.1842013888888889</v>
      </c>
      <c r="T4" s="57">
        <v>0.09355324074074074</v>
      </c>
      <c r="U4" s="57">
        <v>0.11936342592592593</v>
      </c>
      <c r="V4" s="49">
        <v>0.19567129629629632</v>
      </c>
      <c r="W4" s="49">
        <v>0.19567129629629632</v>
      </c>
      <c r="X4" s="49">
        <v>0.1980208333333333</v>
      </c>
      <c r="Y4" s="57">
        <v>0.06984953703703704</v>
      </c>
      <c r="Z4" s="57">
        <v>0.07023148148148149</v>
      </c>
      <c r="AA4" s="57">
        <v>0.07342592592592594</v>
      </c>
      <c r="AB4" s="49">
        <v>0.07788194444444445</v>
      </c>
      <c r="AC4" s="49">
        <v>0.07788194444444445</v>
      </c>
      <c r="AD4" s="49">
        <v>0.07921296296296297</v>
      </c>
      <c r="AE4" s="57">
        <v>0.05258101851851852</v>
      </c>
      <c r="AF4" s="57">
        <v>0.0587962962962963</v>
      </c>
      <c r="AG4" s="57">
        <v>0.06001157407407407</v>
      </c>
      <c r="AH4" s="49">
        <v>0.041666666666666664</v>
      </c>
      <c r="AI4" s="57">
        <v>0.2946990740740741</v>
      </c>
      <c r="AJ4" s="57">
        <v>0.30313657407407407</v>
      </c>
      <c r="AK4" s="49">
        <v>0.30775462962962963</v>
      </c>
      <c r="AL4" s="57">
        <v>0.2503356481481482</v>
      </c>
      <c r="AM4" s="57">
        <v>0.2503356481481482</v>
      </c>
      <c r="AN4" s="57">
        <v>0.25253472222222223</v>
      </c>
      <c r="AO4" s="49">
        <v>0.24474537037037036</v>
      </c>
      <c r="AP4" s="49">
        <v>0.24474537037037036</v>
      </c>
      <c r="AQ4" s="49">
        <v>0.24688657407407408</v>
      </c>
      <c r="AR4" s="57">
        <v>0.2267361111111111</v>
      </c>
      <c r="AS4" s="57">
        <v>0.2267361111111111</v>
      </c>
      <c r="AT4" s="57">
        <v>0.23068287037037036</v>
      </c>
      <c r="AU4" s="39"/>
      <c r="AV4" s="39"/>
      <c r="AW4" s="39"/>
      <c r="AX4" s="39"/>
    </row>
    <row r="5" spans="1:50" ht="13.5">
      <c r="A5" s="70" t="s">
        <v>2</v>
      </c>
      <c r="B5" s="21" t="s">
        <v>275</v>
      </c>
      <c r="C5" s="22" t="s">
        <v>282</v>
      </c>
      <c r="D5" s="23" t="s">
        <v>150</v>
      </c>
      <c r="E5" s="23" t="s">
        <v>283</v>
      </c>
      <c r="F5" s="24">
        <f t="shared" si="0"/>
        <v>0.009872685185185193</v>
      </c>
      <c r="G5" s="25">
        <f>(5-COUNT(V5,Y5,AB5,AE5,AH5))*'штрафы-карточка'!$B$4+(4-COUNT(AK5,AL5,AO5,AR5))*'штрафы-карточка'!$B$5+(7-COUNT(X5,AA5,AD5,AG5,AN5,AQ5,AT5))*'штрафы-карточка'!$B$3</f>
        <v>0</v>
      </c>
      <c r="H5" s="26">
        <f>VLOOKUP(D5,'штрафы-карточка'!$E$2:$L$300,2,FALSE)</f>
        <v>0</v>
      </c>
      <c r="I5" s="26">
        <f>VLOOKUP(D5,'штрафы-карточка'!$E$2:$L$300,3,FALSE)</f>
        <v>0</v>
      </c>
      <c r="J5" s="26">
        <f>VLOOKUP(D5,'штрафы-карточка'!$E$2:$L$300,4,FALSE)</f>
        <v>0</v>
      </c>
      <c r="K5" s="26">
        <f>VLOOKUP(D5,'штрафы-карточка'!$E$2:$L$300,5,FALSE)</f>
        <v>0</v>
      </c>
      <c r="L5" s="26">
        <f>VLOOKUP(D5,'штрафы-карточка'!$E$2:$L$300,6,FALSE)</f>
        <v>0</v>
      </c>
      <c r="M5" s="26">
        <f>VLOOKUP(D5,'штрафы-карточка'!$E$2:$L$300,7,FALSE)</f>
        <v>0</v>
      </c>
      <c r="N5" s="26">
        <f>VLOOKUP(D5,'штрафы-карточка'!$E$2:$L$300,8,FALSE)</f>
        <v>0</v>
      </c>
      <c r="O5" s="61">
        <f t="shared" si="1"/>
        <v>0.3409375</v>
      </c>
      <c r="P5" s="49">
        <v>0.007916666666666667</v>
      </c>
      <c r="Q5" s="57">
        <v>0.26130787037037034</v>
      </c>
      <c r="R5" s="49">
        <v>0.11907407407407407</v>
      </c>
      <c r="S5" s="49">
        <v>0.19510416666666666</v>
      </c>
      <c r="T5" s="57">
        <v>0.088125</v>
      </c>
      <c r="U5" s="57">
        <v>0.11711805555555554</v>
      </c>
      <c r="V5" s="49">
        <v>0.21092592592592593</v>
      </c>
      <c r="W5" s="49">
        <v>0.21092592592592593</v>
      </c>
      <c r="X5" s="49">
        <v>0.21253472222222222</v>
      </c>
      <c r="Y5" s="57">
        <v>0.23528935185185185</v>
      </c>
      <c r="Z5" s="57">
        <v>0.23981481481481481</v>
      </c>
      <c r="AA5" s="57">
        <v>0.24172453703703703</v>
      </c>
      <c r="AB5" s="49">
        <v>0.07244212962962963</v>
      </c>
      <c r="AC5" s="49">
        <v>0.07244212962962963</v>
      </c>
      <c r="AD5" s="49">
        <v>0.07378472222222222</v>
      </c>
      <c r="AE5" s="57">
        <v>0.050833333333333335</v>
      </c>
      <c r="AF5" s="57">
        <v>0.05618055555555556</v>
      </c>
      <c r="AG5" s="57">
        <v>0.057060185185185186</v>
      </c>
      <c r="AH5" s="49">
        <v>0.041666666666666664</v>
      </c>
      <c r="AI5" s="57">
        <v>0.31743055555555555</v>
      </c>
      <c r="AJ5" s="57">
        <v>0.3231365740740741</v>
      </c>
      <c r="AK5" s="49">
        <v>0.32872685185185185</v>
      </c>
      <c r="AL5" s="57">
        <v>0.2688657407407407</v>
      </c>
      <c r="AM5" s="57">
        <v>0.2688657407407407</v>
      </c>
      <c r="AN5" s="57">
        <v>0.2700347222222222</v>
      </c>
      <c r="AO5" s="49">
        <v>0.2802777777777778</v>
      </c>
      <c r="AP5" s="49">
        <v>0.2802777777777778</v>
      </c>
      <c r="AQ5" s="49">
        <v>0.28122685185185187</v>
      </c>
      <c r="AR5" s="57">
        <v>0.2566087962962963</v>
      </c>
      <c r="AS5" s="57">
        <v>0.2566087962962963</v>
      </c>
      <c r="AT5" s="57">
        <v>0.2588888888888889</v>
      </c>
      <c r="AU5" s="39"/>
      <c r="AV5" s="39"/>
      <c r="AW5" s="39"/>
      <c r="AX5" s="39"/>
    </row>
    <row r="6" spans="1:50" ht="13.5">
      <c r="A6" s="70" t="s">
        <v>3</v>
      </c>
      <c r="B6" s="21" t="s">
        <v>275</v>
      </c>
      <c r="C6" s="22" t="s">
        <v>286</v>
      </c>
      <c r="D6" s="23" t="s">
        <v>157</v>
      </c>
      <c r="E6" s="23" t="s">
        <v>287</v>
      </c>
      <c r="F6" s="24">
        <f t="shared" si="0"/>
        <v>0.0033449074074073937</v>
      </c>
      <c r="G6" s="25">
        <f>(5-COUNT(V6,Y6,AB6,AE6,AH6))*'штрафы-карточка'!$B$4+(4-COUNT(AK6,AL6,AO6,AR6))*'штрафы-карточка'!$B$5+(7-COUNT(X6,AA6,AD6,AG6,AN6,AQ6,AT6))*'штрафы-карточка'!$B$3</f>
        <v>0</v>
      </c>
      <c r="H6" s="26">
        <f>VLOOKUP(D6,'штрафы-карточка'!$E$2:$L$300,2,FALSE)</f>
        <v>0</v>
      </c>
      <c r="I6" s="26">
        <f>VLOOKUP(D6,'штрафы-карточка'!$E$2:$L$300,3,FALSE)</f>
        <v>0</v>
      </c>
      <c r="J6" s="26">
        <f>VLOOKUP(D6,'штрафы-карточка'!$E$2:$L$300,4,FALSE)</f>
        <v>0</v>
      </c>
      <c r="K6" s="26">
        <f>VLOOKUP(D6,'штрафы-карточка'!$E$2:$L$300,5,FALSE)</f>
        <v>0</v>
      </c>
      <c r="L6" s="26">
        <f>VLOOKUP(D6,'штрафы-карточка'!$E$2:$L$300,6,FALSE)</f>
        <v>0</v>
      </c>
      <c r="M6" s="26">
        <f>VLOOKUP(D6,'штрафы-карточка'!$E$2:$L$300,7,FALSE)</f>
        <v>0</v>
      </c>
      <c r="N6" s="26">
        <f>VLOOKUP(D6,'штрафы-карточка'!$E$2:$L$300,8,FALSE)</f>
        <v>0</v>
      </c>
      <c r="O6" s="61">
        <f t="shared" si="1"/>
        <v>0.3455555555555556</v>
      </c>
      <c r="P6" s="49">
        <v>0.007569444444444445</v>
      </c>
      <c r="Q6" s="57">
        <v>0.25342592592592594</v>
      </c>
      <c r="R6" s="49">
        <v>0.04704861111111111</v>
      </c>
      <c r="S6" s="49">
        <v>0.10855324074074074</v>
      </c>
      <c r="T6" s="57">
        <v>0.11212962962962963</v>
      </c>
      <c r="U6" s="57">
        <v>0.14605324074074075</v>
      </c>
      <c r="V6" s="49">
        <v>0.16123842592592594</v>
      </c>
      <c r="W6" s="49">
        <v>0.1632523148148148</v>
      </c>
      <c r="X6" s="49">
        <v>0.16413194444444446</v>
      </c>
      <c r="Y6" s="57">
        <v>0.01892361111111111</v>
      </c>
      <c r="Z6" s="57">
        <v>0.02025462962962963</v>
      </c>
      <c r="AA6" s="57">
        <v>0.021585648148148145</v>
      </c>
      <c r="AB6" s="49">
        <v>0.0290625</v>
      </c>
      <c r="AC6" s="49">
        <v>0.0290625</v>
      </c>
      <c r="AD6" s="49">
        <v>0.03099537037037037</v>
      </c>
      <c r="AE6" s="57">
        <v>0.19875</v>
      </c>
      <c r="AF6" s="57">
        <v>0.19875</v>
      </c>
      <c r="AG6" s="57">
        <v>0.2004166666666667</v>
      </c>
      <c r="AH6" s="49">
        <v>0.0416666666666667</v>
      </c>
      <c r="AI6" s="57">
        <v>0.3042361111111111</v>
      </c>
      <c r="AJ6" s="57">
        <v>0.31280092592592595</v>
      </c>
      <c r="AK6" s="49">
        <v>0.31725694444444447</v>
      </c>
      <c r="AL6" s="57">
        <v>0.26349537037037035</v>
      </c>
      <c r="AM6" s="57">
        <v>0.26349537037037035</v>
      </c>
      <c r="AN6" s="57">
        <v>0.2647685185185185</v>
      </c>
      <c r="AO6" s="49">
        <v>0.34399305555555554</v>
      </c>
      <c r="AP6" s="49">
        <v>0.34399305555555554</v>
      </c>
      <c r="AQ6" s="49">
        <v>0.3455439814814815</v>
      </c>
      <c r="AR6" s="57">
        <v>0.24628472222222222</v>
      </c>
      <c r="AS6" s="57">
        <v>0.24628472222222222</v>
      </c>
      <c r="AT6" s="57">
        <v>0.2507638888888889</v>
      </c>
      <c r="AU6" s="39"/>
      <c r="AV6" s="39"/>
      <c r="AW6" s="39"/>
      <c r="AX6" s="39"/>
    </row>
    <row r="7" spans="1:50" ht="13.5">
      <c r="A7" s="23" t="s">
        <v>4</v>
      </c>
      <c r="B7" s="21" t="s">
        <v>275</v>
      </c>
      <c r="C7" s="22" t="s">
        <v>312</v>
      </c>
      <c r="D7" s="23" t="s">
        <v>32</v>
      </c>
      <c r="E7" s="23" t="s">
        <v>313</v>
      </c>
      <c r="F7" s="24">
        <f t="shared" si="0"/>
        <v>0.037129629629629624</v>
      </c>
      <c r="G7" s="25">
        <f>(5-COUNT(V7,Y7,AB7,AE7,AH7))*'штрафы-карточка'!$B$4+(4-COUNT(AK7,AL7,AO7,AR7))*'штрафы-карточка'!$B$5+(7-COUNT(X7,AA7,AD7,AG7,AN7,AQ7,AT7))*'штрафы-карточка'!$B$3</f>
        <v>0</v>
      </c>
      <c r="H7" s="26">
        <f>VLOOKUP(D7,'штрафы-карточка'!$E$2:$L$300,2,FALSE)</f>
        <v>0</v>
      </c>
      <c r="I7" s="26">
        <f>VLOOKUP(D7,'штрафы-карточка'!$E$2:$L$300,3,FALSE)</f>
        <v>0</v>
      </c>
      <c r="J7" s="26">
        <f>VLOOKUP(D7,'штрафы-карточка'!$E$2:$L$300,4,FALSE)</f>
        <v>0</v>
      </c>
      <c r="K7" s="26">
        <f>VLOOKUP(D7,'штрафы-карточка'!$E$2:$L$300,5,FALSE)</f>
        <v>0</v>
      </c>
      <c r="L7" s="26">
        <f>VLOOKUP(D7,'штрафы-карточка'!$E$2:$L$300,6,FALSE)</f>
        <v>0</v>
      </c>
      <c r="M7" s="26">
        <f>VLOOKUP(D7,'штрафы-карточка'!$E$2:$L$300,7,FALSE)</f>
        <v>0</v>
      </c>
      <c r="N7" s="26">
        <f>VLOOKUP(D7,'штрафы-карточка'!$E$2:$L$300,8,FALSE)</f>
        <v>0</v>
      </c>
      <c r="O7" s="61">
        <f t="shared" si="1"/>
        <v>0.39363425925925927</v>
      </c>
      <c r="P7" s="49">
        <v>0.007777777777777777</v>
      </c>
      <c r="Q7" s="57">
        <v>0.3272916666666667</v>
      </c>
      <c r="R7" s="49">
        <v>0.1516898148148148</v>
      </c>
      <c r="S7" s="49">
        <v>0.23136574074074076</v>
      </c>
      <c r="T7" s="57">
        <v>0.11927083333333333</v>
      </c>
      <c r="U7" s="57">
        <v>0.14888888888888888</v>
      </c>
      <c r="V7" s="49">
        <v>0.2525810185185185</v>
      </c>
      <c r="W7" s="49">
        <v>0.2573958333333333</v>
      </c>
      <c r="X7" s="49">
        <v>0.25863425925925926</v>
      </c>
      <c r="Y7" s="57">
        <v>0.09960648148148148</v>
      </c>
      <c r="Z7" s="57">
        <v>0.10002314814814815</v>
      </c>
      <c r="AA7" s="57">
        <v>0.10221064814814813</v>
      </c>
      <c r="AB7" s="49">
        <v>0.1083912037037037</v>
      </c>
      <c r="AC7" s="49">
        <v>0.110625</v>
      </c>
      <c r="AD7" s="49">
        <v>0.11210648148148149</v>
      </c>
      <c r="AE7" s="57">
        <v>0.05935185185185185</v>
      </c>
      <c r="AF7" s="57">
        <v>0.08400462962962962</v>
      </c>
      <c r="AG7" s="57">
        <v>0.08503472222222223</v>
      </c>
      <c r="AH7" s="49">
        <v>0.0416666666666667</v>
      </c>
      <c r="AI7" s="57">
        <v>0.39645833333333336</v>
      </c>
      <c r="AJ7" s="57">
        <v>0.405474537037037</v>
      </c>
      <c r="AK7" s="49">
        <v>0.3886689814814815</v>
      </c>
      <c r="AL7" s="57">
        <v>0.33216435185185184</v>
      </c>
      <c r="AM7" s="57">
        <v>0.3348032407407407</v>
      </c>
      <c r="AN7" s="57">
        <v>0.33577546296296296</v>
      </c>
      <c r="AO7" s="49">
        <v>0.3514699074074074</v>
      </c>
      <c r="AP7" s="49">
        <v>0.3538425925925926</v>
      </c>
      <c r="AQ7" s="49">
        <v>0.35509259259259257</v>
      </c>
      <c r="AR7" s="57">
        <v>0.3164699074074074</v>
      </c>
      <c r="AS7" s="57">
        <v>0.3164699074074074</v>
      </c>
      <c r="AT7" s="57">
        <v>0.3227777777777778</v>
      </c>
      <c r="AU7" s="39"/>
      <c r="AV7" s="42">
        <v>0.3366087962962963</v>
      </c>
      <c r="AW7" s="39"/>
      <c r="AX7" s="39"/>
    </row>
    <row r="8" spans="1:50" ht="13.5">
      <c r="A8" s="23" t="s">
        <v>5</v>
      </c>
      <c r="B8" s="21" t="s">
        <v>275</v>
      </c>
      <c r="C8" s="22" t="s">
        <v>278</v>
      </c>
      <c r="D8" s="23" t="s">
        <v>156</v>
      </c>
      <c r="E8" s="23" t="s">
        <v>279</v>
      </c>
      <c r="F8" s="24">
        <f t="shared" si="0"/>
        <v>0.03275462962962966</v>
      </c>
      <c r="G8" s="25">
        <f>(5-COUNT(V8,Y8,AB8,AE8,AH8))*'штрафы-карточка'!$B$4+(4-COUNT(AK8,AL8,AO8,AR8))*'штрафы-карточка'!$B$5+(7-COUNT(X8,AA8,AD8,AG8,AN8,AQ8,AT8))*'штрафы-карточка'!$B$3</f>
        <v>0</v>
      </c>
      <c r="H8" s="26">
        <f>VLOOKUP(D8,'штрафы-карточка'!$E$2:$L$300,2,FALSE)</f>
        <v>0</v>
      </c>
      <c r="I8" s="26">
        <f>VLOOKUP(D8,'штрафы-карточка'!$E$2:$L$300,3,FALSE)</f>
        <v>0</v>
      </c>
      <c r="J8" s="26">
        <f>VLOOKUP(D8,'штрафы-карточка'!$E$2:$L$300,4,FALSE)</f>
        <v>0</v>
      </c>
      <c r="K8" s="26">
        <f>VLOOKUP(D8,'штрафы-карточка'!$E$2:$L$300,5,FALSE)</f>
        <v>0</v>
      </c>
      <c r="L8" s="26">
        <f>VLOOKUP(D8,'штрафы-карточка'!$E$2:$L$300,6,FALSE)</f>
        <v>120</v>
      </c>
      <c r="M8" s="26">
        <f>VLOOKUP(D8,'штрафы-карточка'!$E$2:$L$300,7,FALSE)</f>
        <v>0</v>
      </c>
      <c r="N8" s="26">
        <f>VLOOKUP(D8,'штрафы-карточка'!$E$2:$L$300,8,FALSE)</f>
        <v>0</v>
      </c>
      <c r="O8" s="61">
        <f t="shared" si="1"/>
        <v>0.4070833333333333</v>
      </c>
      <c r="P8" s="49">
        <v>0.006967592592592592</v>
      </c>
      <c r="Q8" s="57">
        <v>0.2674652777777778</v>
      </c>
      <c r="R8" s="49">
        <v>0.16376157407407407</v>
      </c>
      <c r="S8" s="49">
        <v>0.19469907407407408</v>
      </c>
      <c r="T8" s="57">
        <v>0.12920138888888888</v>
      </c>
      <c r="U8" s="57">
        <v>0.1594675925925926</v>
      </c>
      <c r="V8" s="49">
        <v>0.21094907407407407</v>
      </c>
      <c r="W8" s="49">
        <v>0.21354166666666666</v>
      </c>
      <c r="X8" s="49">
        <v>0.2159837962962963</v>
      </c>
      <c r="Y8" s="57">
        <v>0.2347222222222222</v>
      </c>
      <c r="Z8" s="57">
        <v>0.23575231481481482</v>
      </c>
      <c r="AA8" s="57">
        <v>0.24292824074074074</v>
      </c>
      <c r="AB8" s="49">
        <v>0.1102662037037037</v>
      </c>
      <c r="AC8" s="49">
        <v>0.11162037037037037</v>
      </c>
      <c r="AD8" s="49">
        <v>0.11335648148148147</v>
      </c>
      <c r="AE8" s="57">
        <v>0.06236111111111111</v>
      </c>
      <c r="AF8" s="57">
        <v>0.0901388888888889</v>
      </c>
      <c r="AG8" s="57">
        <v>0.09157407407407407</v>
      </c>
      <c r="AH8" s="49">
        <v>0.0416666666666667</v>
      </c>
      <c r="AI8" s="57">
        <v>0.3251388888888889</v>
      </c>
      <c r="AJ8" s="57">
        <v>0.3328125</v>
      </c>
      <c r="AK8" s="49">
        <v>0.3372106481481481</v>
      </c>
      <c r="AL8" s="57">
        <v>0.2768287037037037</v>
      </c>
      <c r="AM8" s="57">
        <v>0.2768287037037037</v>
      </c>
      <c r="AN8" s="57">
        <v>0.2784027777777778</v>
      </c>
      <c r="AO8" s="49">
        <v>0.290150462962963</v>
      </c>
      <c r="AP8" s="49">
        <v>0.290150462962963</v>
      </c>
      <c r="AQ8" s="49">
        <v>0.29136574074074073</v>
      </c>
      <c r="AR8" s="57">
        <v>0.2581365740740741</v>
      </c>
      <c r="AS8" s="57">
        <v>0.2581365740740741</v>
      </c>
      <c r="AT8" s="57">
        <v>0.2635416666666667</v>
      </c>
      <c r="AU8" s="39"/>
      <c r="AV8" s="39"/>
      <c r="AW8" s="39"/>
      <c r="AX8" s="39"/>
    </row>
    <row r="9" spans="1:50" ht="13.5">
      <c r="A9" s="23" t="s">
        <v>6</v>
      </c>
      <c r="B9" s="21" t="s">
        <v>275</v>
      </c>
      <c r="C9" s="22" t="s">
        <v>304</v>
      </c>
      <c r="D9" s="23" t="s">
        <v>135</v>
      </c>
      <c r="E9" s="23" t="s">
        <v>305</v>
      </c>
      <c r="F9" s="24">
        <f t="shared" si="0"/>
        <v>0.016296296296296253</v>
      </c>
      <c r="G9" s="25">
        <f>(5-COUNT(V9,Y9,AB9,AE9,AH9))*'штрафы-карточка'!$B$4+(4-COUNT(AK9,AL9,AO9,AR9))*'штрафы-карточка'!$B$5+(7-COUNT(X9,AA9,AD9,AG9,AN9,AQ9,AT9))*'штрафы-карточка'!$B$3</f>
        <v>0</v>
      </c>
      <c r="H9" s="26">
        <f>VLOOKUP(D9,'штрафы-карточка'!$E$2:$L$300,2,FALSE)</f>
        <v>30</v>
      </c>
      <c r="I9" s="26">
        <f>VLOOKUP(D9,'штрафы-карточка'!$E$2:$L$300,3,FALSE)</f>
        <v>0</v>
      </c>
      <c r="J9" s="26">
        <f>VLOOKUP(D9,'штрафы-карточка'!$E$2:$L$300,4,FALSE)</f>
        <v>0</v>
      </c>
      <c r="K9" s="26">
        <f>VLOOKUP(D9,'штрафы-карточка'!$E$2:$L$300,5,FALSE)</f>
        <v>0</v>
      </c>
      <c r="L9" s="26">
        <f>VLOOKUP(D9,'штрафы-карточка'!$E$2:$L$300,6,FALSE)</f>
        <v>0</v>
      </c>
      <c r="M9" s="26">
        <f>VLOOKUP(D9,'штрафы-карточка'!$E$2:$L$300,7,FALSE)</f>
        <v>0</v>
      </c>
      <c r="N9" s="26">
        <f>VLOOKUP(D9,'штрафы-карточка'!$E$2:$L$300,8,FALSE)</f>
        <v>0</v>
      </c>
      <c r="O9" s="61">
        <f t="shared" si="1"/>
        <v>0.41056712962962966</v>
      </c>
      <c r="P9" s="49">
        <v>0.007025462962962963</v>
      </c>
      <c r="Q9" s="57">
        <v>0.29583333333333334</v>
      </c>
      <c r="R9" s="49">
        <v>0.05023148148148148</v>
      </c>
      <c r="S9" s="49">
        <v>0.12267361111111112</v>
      </c>
      <c r="T9" s="57">
        <v>0.12797453703703704</v>
      </c>
      <c r="U9" s="57">
        <v>0.1595486111111111</v>
      </c>
      <c r="V9" s="49">
        <v>0.17850694444444445</v>
      </c>
      <c r="W9" s="49">
        <v>0.1834259259259259</v>
      </c>
      <c r="X9" s="49">
        <v>0.18824074074074074</v>
      </c>
      <c r="Y9" s="57">
        <v>0.02136574074074074</v>
      </c>
      <c r="Z9" s="57">
        <v>0.02702546296296296</v>
      </c>
      <c r="AA9" s="57">
        <v>0.031064814814814812</v>
      </c>
      <c r="AB9" s="49">
        <v>0.03599537037037037</v>
      </c>
      <c r="AC9" s="49">
        <v>0.03599537037037037</v>
      </c>
      <c r="AD9" s="49">
        <v>0.037800925925925925</v>
      </c>
      <c r="AE9" s="57">
        <v>0.22560185185185186</v>
      </c>
      <c r="AF9" s="57">
        <v>0.22900462962962964</v>
      </c>
      <c r="AG9" s="57">
        <v>0.23028935185185184</v>
      </c>
      <c r="AH9" s="49">
        <v>0.0416666666666667</v>
      </c>
      <c r="AI9" s="57">
        <v>0.3641435185185185</v>
      </c>
      <c r="AJ9" s="57">
        <v>0.376099537037037</v>
      </c>
      <c r="AK9" s="49">
        <v>0.3818518518518519</v>
      </c>
      <c r="AL9" s="57">
        <v>0.30810185185185185</v>
      </c>
      <c r="AM9" s="57">
        <v>0.30810185185185185</v>
      </c>
      <c r="AN9" s="57">
        <v>0.3103240740740741</v>
      </c>
      <c r="AO9" s="49">
        <v>0.32837962962962963</v>
      </c>
      <c r="AP9" s="49">
        <v>0.32837962962962963</v>
      </c>
      <c r="AQ9" s="49">
        <v>0.33042824074074073</v>
      </c>
      <c r="AR9" s="57">
        <v>0.2838425925925926</v>
      </c>
      <c r="AS9" s="57">
        <v>0.2861574074074074</v>
      </c>
      <c r="AT9" s="57">
        <v>0.2919212962962963</v>
      </c>
      <c r="AU9" s="39"/>
      <c r="AV9" s="39"/>
      <c r="AW9" s="39"/>
      <c r="AX9" s="39"/>
    </row>
    <row r="10" spans="1:50" ht="13.5">
      <c r="A10" s="23" t="s">
        <v>7</v>
      </c>
      <c r="B10" s="21" t="s">
        <v>275</v>
      </c>
      <c r="C10" s="22" t="s">
        <v>350</v>
      </c>
      <c r="D10" s="23" t="s">
        <v>158</v>
      </c>
      <c r="E10" s="23" t="s">
        <v>351</v>
      </c>
      <c r="F10" s="24">
        <f t="shared" si="0"/>
        <v>0.011273148148148171</v>
      </c>
      <c r="G10" s="25">
        <f>(5-COUNT(V10,Y10,AB10,AE10,AH10))*'штрафы-карточка'!$B$4+(4-COUNT(AK10,AL10,AO10,AR10))*'штрафы-карточка'!$B$5+(7-COUNT(X10,AA10,AD10,AG10,AN10,AQ10,AT10))*'штрафы-карточка'!$B$3</f>
        <v>0</v>
      </c>
      <c r="H10" s="26">
        <f>VLOOKUP(D10,'штрафы-карточка'!$E$2:$L$300,2,FALSE)</f>
        <v>0</v>
      </c>
      <c r="I10" s="26">
        <f>VLOOKUP(D10,'штрафы-карточка'!$E$2:$L$300,3,FALSE)</f>
        <v>0</v>
      </c>
      <c r="J10" s="26">
        <f>VLOOKUP(D10,'штрафы-карточка'!$E$2:$L$300,4,FALSE)</f>
        <v>0</v>
      </c>
      <c r="K10" s="26">
        <f>VLOOKUP(D10,'штрафы-карточка'!$E$2:$L$300,5,FALSE)</f>
        <v>0</v>
      </c>
      <c r="L10" s="26">
        <f>VLOOKUP(D10,'штрафы-карточка'!$E$2:$L$300,6,FALSE)</f>
        <v>0</v>
      </c>
      <c r="M10" s="26">
        <f>VLOOKUP(D10,'штрафы-карточка'!$E$2:$L$300,7,FALSE)</f>
        <v>0</v>
      </c>
      <c r="N10" s="26">
        <f>VLOOKUP(D10,'штрафы-карточка'!$E$2:$L$300,8,FALSE)</f>
        <v>0</v>
      </c>
      <c r="O10" s="61">
        <f t="shared" si="1"/>
        <v>0.42442129629629627</v>
      </c>
      <c r="P10" s="49">
        <v>0.008622685185185185</v>
      </c>
      <c r="Q10" s="57">
        <v>0.3177314814814815</v>
      </c>
      <c r="R10" s="49">
        <v>0.11950231481481481</v>
      </c>
      <c r="S10" s="49">
        <v>0.19291666666666665</v>
      </c>
      <c r="T10" s="57">
        <v>0.08663194444444444</v>
      </c>
      <c r="U10" s="57">
        <v>0.1154513888888889</v>
      </c>
      <c r="V10" s="49">
        <v>0.06734953703703704</v>
      </c>
      <c r="W10" s="49">
        <v>0.07079861111111112</v>
      </c>
      <c r="X10" s="49">
        <v>0.07318287037037037</v>
      </c>
      <c r="Y10" s="57">
        <v>0.028310185185185185</v>
      </c>
      <c r="Z10" s="57">
        <v>0.03591435185185186</v>
      </c>
      <c r="AA10" s="57">
        <v>0.04155092592592593</v>
      </c>
      <c r="AB10" s="49">
        <v>0.21476851851851853</v>
      </c>
      <c r="AC10" s="49">
        <v>0.21476851851851853</v>
      </c>
      <c r="AD10" s="49">
        <v>0.21613425925925925</v>
      </c>
      <c r="AE10" s="57">
        <v>0.24984953703703705</v>
      </c>
      <c r="AF10" s="57">
        <v>0.24984953703703705</v>
      </c>
      <c r="AG10" s="57">
        <v>0.2516435185185185</v>
      </c>
      <c r="AH10" s="49">
        <v>0.0416666666666667</v>
      </c>
      <c r="AI10" s="57">
        <v>0.3990972222222222</v>
      </c>
      <c r="AJ10" s="57">
        <v>0.4054513888888889</v>
      </c>
      <c r="AK10" s="49">
        <v>0.41171296296296295</v>
      </c>
      <c r="AL10" s="57">
        <v>0.32298611111111114</v>
      </c>
      <c r="AM10" s="57">
        <v>0.32298611111111114</v>
      </c>
      <c r="AN10" s="57">
        <v>0.3247685185185185</v>
      </c>
      <c r="AO10" s="49">
        <v>0.3481828703703704</v>
      </c>
      <c r="AP10" s="49">
        <v>0.3484027777777778</v>
      </c>
      <c r="AQ10" s="49">
        <v>0.3500347222222222</v>
      </c>
      <c r="AR10" s="57">
        <v>0.30966435185185187</v>
      </c>
      <c r="AS10" s="57">
        <v>0.30966435185185187</v>
      </c>
      <c r="AT10" s="57">
        <v>0.31421296296296297</v>
      </c>
      <c r="AU10" s="39"/>
      <c r="AV10" s="39"/>
      <c r="AW10" s="39"/>
      <c r="AX10" s="39"/>
    </row>
    <row r="11" spans="1:50" ht="13.5">
      <c r="A11" s="23" t="s">
        <v>8</v>
      </c>
      <c r="B11" s="21" t="s">
        <v>275</v>
      </c>
      <c r="C11" s="22" t="s">
        <v>354</v>
      </c>
      <c r="D11" s="23" t="s">
        <v>109</v>
      </c>
      <c r="E11" s="23" t="s">
        <v>355</v>
      </c>
      <c r="F11" s="24">
        <f t="shared" si="0"/>
        <v>0.005335648148148131</v>
      </c>
      <c r="G11" s="25">
        <f>(5-COUNT(V11,Y11,AB11,AE11,AH11))*'штрафы-карточка'!$B$4+(4-COUNT(AK11,AL11,AO11,AR11))*'штрафы-карточка'!$B$5+(7-COUNT(X11,AA11,AD11,AG11,AN11,AQ11,AT11))*'штрафы-карточка'!$B$3</f>
        <v>0</v>
      </c>
      <c r="H11" s="26">
        <f>VLOOKUP(D11,'штрафы-карточка'!$E$2:$L$300,2,FALSE)</f>
        <v>0</v>
      </c>
      <c r="I11" s="26">
        <f>VLOOKUP(D11,'штрафы-карточка'!$E$2:$L$300,3,FALSE)</f>
        <v>0</v>
      </c>
      <c r="J11" s="26">
        <f>VLOOKUP(D11,'штрафы-карточка'!$E$2:$L$300,4,FALSE)</f>
        <v>0</v>
      </c>
      <c r="K11" s="26">
        <f>VLOOKUP(D11,'штрафы-карточка'!$E$2:$L$300,5,FALSE)</f>
        <v>0</v>
      </c>
      <c r="L11" s="26">
        <f>VLOOKUP(D11,'штрафы-карточка'!$E$2:$L$300,6,FALSE)</f>
        <v>0</v>
      </c>
      <c r="M11" s="26">
        <f>VLOOKUP(D11,'штрафы-карточка'!$E$2:$L$300,7,FALSE)</f>
        <v>0</v>
      </c>
      <c r="N11" s="26">
        <f>VLOOKUP(D11,'штрафы-карточка'!$E$2:$L$300,8,FALSE)</f>
        <v>0</v>
      </c>
      <c r="O11" s="61">
        <f t="shared" si="1"/>
        <v>0.42744212962962963</v>
      </c>
      <c r="P11" s="49">
        <v>0.007604166666666666</v>
      </c>
      <c r="Q11" s="57">
        <v>0.31105324074074076</v>
      </c>
      <c r="R11" s="49">
        <v>0.160625</v>
      </c>
      <c r="S11" s="49">
        <v>0.23872685185185186</v>
      </c>
      <c r="T11" s="57">
        <v>0.10936342592592592</v>
      </c>
      <c r="U11" s="57">
        <v>0.15112268518518518</v>
      </c>
      <c r="V11" s="49">
        <v>0.26123842592592594</v>
      </c>
      <c r="W11" s="49">
        <v>0.26123842592592594</v>
      </c>
      <c r="X11" s="49">
        <v>0.2627662037037037</v>
      </c>
      <c r="Y11" s="57">
        <v>0.08185185185185186</v>
      </c>
      <c r="Z11" s="57">
        <v>0.08309027777777778</v>
      </c>
      <c r="AA11" s="57">
        <v>0.08806712962962963</v>
      </c>
      <c r="AB11" s="49">
        <v>0.09346064814814814</v>
      </c>
      <c r="AC11" s="49">
        <v>0.09431712962962963</v>
      </c>
      <c r="AD11" s="49">
        <v>0.09515046296296296</v>
      </c>
      <c r="AE11" s="57">
        <v>0.04954861111111111</v>
      </c>
      <c r="AF11" s="57">
        <v>0.05278935185185185</v>
      </c>
      <c r="AG11" s="57">
        <v>0.05390046296296296</v>
      </c>
      <c r="AH11" s="49">
        <v>0.0416666666666667</v>
      </c>
      <c r="AI11" s="57">
        <v>0.3744791666666667</v>
      </c>
      <c r="AJ11" s="57">
        <v>0.38275462962962964</v>
      </c>
      <c r="AK11" s="49">
        <v>0.36964120370370374</v>
      </c>
      <c r="AL11" s="57">
        <v>0.33046296296296296</v>
      </c>
      <c r="AM11" s="57">
        <v>0.33046296296296296</v>
      </c>
      <c r="AN11" s="57">
        <v>0.33373842592592595</v>
      </c>
      <c r="AO11" s="49">
        <v>0.34622685185185187</v>
      </c>
      <c r="AP11" s="49">
        <v>0.34622685185185187</v>
      </c>
      <c r="AQ11" s="49">
        <v>0.3483217592592593</v>
      </c>
      <c r="AR11" s="57">
        <v>0.30060185185185184</v>
      </c>
      <c r="AS11" s="57">
        <v>0.30060185185185184</v>
      </c>
      <c r="AT11" s="57">
        <v>0.30636574074074074</v>
      </c>
      <c r="AU11" s="39"/>
      <c r="AV11" s="39"/>
      <c r="AW11" s="39"/>
      <c r="AX11" s="39"/>
    </row>
    <row r="12" spans="1:50" ht="13.5">
      <c r="A12" s="23" t="s">
        <v>9</v>
      </c>
      <c r="B12" s="21" t="s">
        <v>275</v>
      </c>
      <c r="C12" s="22" t="s">
        <v>302</v>
      </c>
      <c r="D12" s="23" t="s">
        <v>147</v>
      </c>
      <c r="E12" s="23" t="s">
        <v>303</v>
      </c>
      <c r="F12" s="24">
        <f t="shared" si="0"/>
        <v>0.01128472222222221</v>
      </c>
      <c r="G12" s="25">
        <f>(5-COUNT(V12,Y12,AB12,AE12,AH12))*'штрафы-карточка'!$B$4+(4-COUNT(AK12,AL12,AO12,AR12))*'штрафы-карточка'!$B$5+(7-COUNT(X12,AA12,AD12,AG12,AN12,AQ12,AT12))*'штрафы-карточка'!$B$3</f>
        <v>0</v>
      </c>
      <c r="H12" s="26">
        <f>VLOOKUP(D12,'штрафы-карточка'!$E$2:$L$300,2,FALSE)</f>
        <v>0</v>
      </c>
      <c r="I12" s="26">
        <f>VLOOKUP(D12,'штрафы-карточка'!$E$2:$L$300,3,FALSE)</f>
        <v>60</v>
      </c>
      <c r="J12" s="26">
        <f>VLOOKUP(D12,'штрафы-карточка'!$E$2:$L$300,4,FALSE)</f>
        <v>0</v>
      </c>
      <c r="K12" s="26">
        <f>VLOOKUP(D12,'штрафы-карточка'!$E$2:$L$300,5,FALSE)</f>
        <v>0</v>
      </c>
      <c r="L12" s="26">
        <f>VLOOKUP(D12,'штрафы-карточка'!$E$2:$L$300,6,FALSE)</f>
        <v>0</v>
      </c>
      <c r="M12" s="26">
        <f>VLOOKUP(D12,'штрафы-карточка'!$E$2:$L$300,7,FALSE)</f>
        <v>0</v>
      </c>
      <c r="N12" s="26">
        <f>VLOOKUP(D12,'штрафы-карточка'!$E$2:$L$300,8,FALSE)</f>
        <v>0</v>
      </c>
      <c r="O12" s="61">
        <f t="shared" si="1"/>
        <v>0.4275578703703704</v>
      </c>
      <c r="P12" s="49">
        <v>0.007418981481481481</v>
      </c>
      <c r="Q12" s="57">
        <v>0.2794097222222222</v>
      </c>
      <c r="R12" s="49">
        <v>0.07440972222222221</v>
      </c>
      <c r="S12" s="49">
        <v>0.1353125</v>
      </c>
      <c r="T12" s="57">
        <v>0.1683449074074074</v>
      </c>
      <c r="U12" s="57"/>
      <c r="V12" s="49">
        <v>0.054155092592592595</v>
      </c>
      <c r="W12" s="49">
        <v>0.05943287037037037</v>
      </c>
      <c r="X12" s="49">
        <v>0.06076388888888889</v>
      </c>
      <c r="Y12" s="57">
        <v>0.0303125</v>
      </c>
      <c r="Z12" s="57">
        <v>0.03631944444444444</v>
      </c>
      <c r="AA12" s="57">
        <v>0.03900462962962963</v>
      </c>
      <c r="AB12" s="49">
        <v>0.18886574074074072</v>
      </c>
      <c r="AC12" s="49">
        <v>0.18886574074074072</v>
      </c>
      <c r="AD12" s="49">
        <v>0.19076388888888887</v>
      </c>
      <c r="AE12" s="57">
        <v>0.21849537037037037</v>
      </c>
      <c r="AF12" s="57">
        <v>0.21849537037037037</v>
      </c>
      <c r="AG12" s="57">
        <v>0.22112268518518519</v>
      </c>
      <c r="AH12" s="49">
        <v>0.0416666666666667</v>
      </c>
      <c r="AI12" s="57">
        <v>0.323900462962963</v>
      </c>
      <c r="AJ12" s="57">
        <v>0.33368055555555554</v>
      </c>
      <c r="AK12" s="49">
        <v>0.31854166666666667</v>
      </c>
      <c r="AL12" s="57">
        <v>0.37097222222222226</v>
      </c>
      <c r="AM12" s="57">
        <v>0.37097222222222226</v>
      </c>
      <c r="AN12" s="57">
        <v>0.3730787037037037</v>
      </c>
      <c r="AO12" s="49">
        <v>0.38855324074074077</v>
      </c>
      <c r="AP12" s="49">
        <v>0.38855324074074077</v>
      </c>
      <c r="AQ12" s="49">
        <v>0.3906712962962963</v>
      </c>
      <c r="AR12" s="57">
        <v>0.2686226851851852</v>
      </c>
      <c r="AS12" s="57">
        <v>0.2686226851851852</v>
      </c>
      <c r="AT12" s="57">
        <v>0.27609953703703705</v>
      </c>
      <c r="AU12" s="39"/>
      <c r="AV12" s="39"/>
      <c r="AW12" s="39"/>
      <c r="AX12" s="39"/>
    </row>
    <row r="13" spans="1:50" ht="13.5">
      <c r="A13" s="23" t="s">
        <v>10</v>
      </c>
      <c r="B13" s="21" t="s">
        <v>275</v>
      </c>
      <c r="C13" s="22" t="s">
        <v>328</v>
      </c>
      <c r="D13" s="23" t="s">
        <v>137</v>
      </c>
      <c r="E13" s="23" t="s">
        <v>329</v>
      </c>
      <c r="F13" s="24">
        <f t="shared" si="0"/>
        <v>0.03829861111111116</v>
      </c>
      <c r="G13" s="25">
        <f>(5-COUNT(V13,Y13,AB13,AE13,AH13))*'штрафы-карточка'!$B$4+(4-COUNT(AK13,AL13,AO13,AR13))*'штрафы-карточка'!$B$5+(7-COUNT(X13,AA13,AD13,AG13,AN13,AQ13,AT13))*'штрафы-карточка'!$B$3</f>
        <v>0</v>
      </c>
      <c r="H13" s="26">
        <f>VLOOKUP(D13,'штрафы-карточка'!$E$2:$L$300,2,FALSE)</f>
        <v>60</v>
      </c>
      <c r="I13" s="26">
        <f>VLOOKUP(D13,'штрафы-карточка'!$E$2:$L$300,3,FALSE)</f>
        <v>0</v>
      </c>
      <c r="J13" s="26">
        <f>VLOOKUP(D13,'штрафы-карточка'!$E$2:$L$300,4,FALSE)</f>
        <v>0</v>
      </c>
      <c r="K13" s="26">
        <f>VLOOKUP(D13,'штрафы-карточка'!$E$2:$L$300,5,FALSE)</f>
        <v>0</v>
      </c>
      <c r="L13" s="26">
        <f>VLOOKUP(D13,'штрафы-карточка'!$E$2:$L$300,6,FALSE)</f>
        <v>0</v>
      </c>
      <c r="M13" s="26">
        <f>VLOOKUP(D13,'штрафы-карточка'!$E$2:$L$300,7,FALSE)</f>
        <v>0</v>
      </c>
      <c r="N13" s="26">
        <f>VLOOKUP(D13,'штрафы-карточка'!$E$2:$L$300,8,FALSE)</f>
        <v>0</v>
      </c>
      <c r="O13" s="61">
        <f t="shared" si="1"/>
        <v>0.4498611111111111</v>
      </c>
      <c r="P13" s="49">
        <v>0.010555555555555554</v>
      </c>
      <c r="Q13" s="57">
        <v>0.3435763888888889</v>
      </c>
      <c r="R13" s="49">
        <v>0.13868055555555556</v>
      </c>
      <c r="S13" s="49">
        <v>0.21344907407407407</v>
      </c>
      <c r="T13" s="57">
        <v>0.21909722222222225</v>
      </c>
      <c r="U13" s="57">
        <v>0.25699074074074074</v>
      </c>
      <c r="V13" s="49">
        <v>0.28377314814814814</v>
      </c>
      <c r="W13" s="49">
        <v>0.2858912037037037</v>
      </c>
      <c r="X13" s="49">
        <v>0.28791666666666665</v>
      </c>
      <c r="Y13" s="57">
        <v>0.10378472222222222</v>
      </c>
      <c r="Z13" s="57">
        <v>0.1048148148148148</v>
      </c>
      <c r="AA13" s="57">
        <v>0.10863425925925925</v>
      </c>
      <c r="AB13" s="49">
        <v>0.1193287037037037</v>
      </c>
      <c r="AC13" s="49">
        <v>0.1193287037037037</v>
      </c>
      <c r="AD13" s="49">
        <v>0.12114583333333334</v>
      </c>
      <c r="AE13" s="57">
        <v>0.06167824074074074</v>
      </c>
      <c r="AF13" s="57">
        <v>0.08778935185185184</v>
      </c>
      <c r="AG13" s="57">
        <v>0.08918981481481482</v>
      </c>
      <c r="AH13" s="49">
        <v>0.0416666666666667</v>
      </c>
      <c r="AI13" s="57">
        <v>0.40457175925925926</v>
      </c>
      <c r="AJ13" s="57">
        <v>0.4118981481481481</v>
      </c>
      <c r="AK13" s="49">
        <v>0.39969907407407407</v>
      </c>
      <c r="AL13" s="57">
        <v>0.35232638888888884</v>
      </c>
      <c r="AM13" s="57">
        <v>0.35232638888888884</v>
      </c>
      <c r="AN13" s="57">
        <v>0.35520833333333335</v>
      </c>
      <c r="AO13" s="49">
        <v>0.3720717592592593</v>
      </c>
      <c r="AP13" s="49">
        <v>0.3720717592592593</v>
      </c>
      <c r="AQ13" s="49">
        <v>0.3744212962962963</v>
      </c>
      <c r="AR13" s="57">
        <v>0.32662037037037034</v>
      </c>
      <c r="AS13" s="57">
        <v>0.33565972222222223</v>
      </c>
      <c r="AT13" s="57">
        <v>0.3393402777777778</v>
      </c>
      <c r="AU13" s="39"/>
      <c r="AV13" s="39"/>
      <c r="AW13" s="39"/>
      <c r="AX13" s="39"/>
    </row>
    <row r="14" spans="1:50" ht="13.5">
      <c r="A14" s="23" t="s">
        <v>11</v>
      </c>
      <c r="B14" s="21" t="s">
        <v>275</v>
      </c>
      <c r="C14" s="22" t="s">
        <v>306</v>
      </c>
      <c r="D14" s="23" t="s">
        <v>160</v>
      </c>
      <c r="E14" s="23" t="s">
        <v>307</v>
      </c>
      <c r="F14" s="24">
        <f t="shared" si="0"/>
        <v>0.008067129629629688</v>
      </c>
      <c r="G14" s="25">
        <f>(5-COUNT(V14,Y14,AB14,AE14,AH14))*'штрафы-карточка'!$B$4+(4-COUNT(AK14,AL14,AO14,AR14))*'штрафы-карточка'!$B$5+(7-COUNT(X14,AA14,AD14,AG14,AN14,AQ14,AT14))*'штрафы-карточка'!$B$3</f>
        <v>0</v>
      </c>
      <c r="H14" s="26">
        <f>VLOOKUP(D14,'штрафы-карточка'!$E$2:$L$300,2,FALSE)</f>
        <v>30</v>
      </c>
      <c r="I14" s="26">
        <f>VLOOKUP(D14,'штрафы-карточка'!$E$2:$L$300,3,FALSE)</f>
        <v>0</v>
      </c>
      <c r="J14" s="26">
        <f>VLOOKUP(D14,'штрафы-карточка'!$E$2:$L$300,4,FALSE)</f>
        <v>0</v>
      </c>
      <c r="K14" s="26">
        <f>VLOOKUP(D14,'штрафы-карточка'!$E$2:$L$300,5,FALSE)</f>
        <v>0</v>
      </c>
      <c r="L14" s="26">
        <f>VLOOKUP(D14,'штрафы-карточка'!$E$2:$L$300,6,FALSE)</f>
        <v>120</v>
      </c>
      <c r="M14" s="26">
        <f>VLOOKUP(D14,'штрафы-карточка'!$E$2:$L$300,7,FALSE)</f>
        <v>0</v>
      </c>
      <c r="N14" s="26">
        <f>VLOOKUP(D14,'штрафы-карточка'!$E$2:$L$300,8,FALSE)</f>
        <v>0</v>
      </c>
      <c r="O14" s="61">
        <f t="shared" si="1"/>
        <v>0.4945254629629629</v>
      </c>
      <c r="P14" s="49">
        <v>0.010972222222222223</v>
      </c>
      <c r="Q14" s="57">
        <v>0.2940625</v>
      </c>
      <c r="R14" s="49">
        <v>0.09582175925925925</v>
      </c>
      <c r="S14" s="49">
        <v>0.16722222222222224</v>
      </c>
      <c r="T14" s="57">
        <v>0.05783564814814815</v>
      </c>
      <c r="U14" s="57">
        <v>0.0938888888888889</v>
      </c>
      <c r="V14" s="49">
        <v>0.18641203703703704</v>
      </c>
      <c r="W14" s="49">
        <v>0.18822916666666667</v>
      </c>
      <c r="X14" s="49">
        <v>0.19136574074074075</v>
      </c>
      <c r="Y14" s="57">
        <v>0.028055555555555556</v>
      </c>
      <c r="Z14" s="57">
        <v>0.03136574074074074</v>
      </c>
      <c r="AA14" s="57">
        <v>0.03581018518518519</v>
      </c>
      <c r="AB14" s="49">
        <v>0.042222222222222223</v>
      </c>
      <c r="AC14" s="49">
        <v>0.042222222222222223</v>
      </c>
      <c r="AD14" s="49">
        <v>0.04476851851851852</v>
      </c>
      <c r="AE14" s="57">
        <v>0.22890046296296296</v>
      </c>
      <c r="AF14" s="57">
        <v>0.23126157407407408</v>
      </c>
      <c r="AG14" s="57">
        <v>0.23230324074074074</v>
      </c>
      <c r="AH14" s="49">
        <v>0.0416666666666667</v>
      </c>
      <c r="AI14" s="57">
        <v>0.3513888888888889</v>
      </c>
      <c r="AJ14" s="57">
        <v>0.3667939814814815</v>
      </c>
      <c r="AK14" s="49">
        <v>0.3728587962962963</v>
      </c>
      <c r="AL14" s="57">
        <v>0.3010069444444445</v>
      </c>
      <c r="AM14" s="57">
        <v>0.3010069444444445</v>
      </c>
      <c r="AN14" s="57">
        <v>0.30394675925925924</v>
      </c>
      <c r="AO14" s="49">
        <v>0.3141087962962963</v>
      </c>
      <c r="AP14" s="49">
        <v>0.3141087962962963</v>
      </c>
      <c r="AQ14" s="49">
        <v>0.3158796296296296</v>
      </c>
      <c r="AR14" s="57">
        <v>0.28377314814814814</v>
      </c>
      <c r="AS14" s="57">
        <v>0.28435185185185186</v>
      </c>
      <c r="AT14" s="57">
        <v>0.28974537037037035</v>
      </c>
      <c r="AU14" s="39"/>
      <c r="AV14" s="39"/>
      <c r="AW14" s="39"/>
      <c r="AX14" s="39"/>
    </row>
    <row r="15" spans="1:50" ht="13.5">
      <c r="A15" s="23" t="s">
        <v>12</v>
      </c>
      <c r="B15" s="21" t="s">
        <v>275</v>
      </c>
      <c r="C15" s="22" t="s">
        <v>342</v>
      </c>
      <c r="D15" s="23" t="s">
        <v>141</v>
      </c>
      <c r="E15" s="23" t="s">
        <v>343</v>
      </c>
      <c r="F15" s="24">
        <f t="shared" si="0"/>
        <v>0.01997685185185183</v>
      </c>
      <c r="G15" s="25">
        <f>(5-COUNT(V15,Y15,AB15,AE15,AH15))*'штрафы-карточка'!$B$4+(4-COUNT(AK15,AL15,AO15,AR15))*'штрафы-карточка'!$B$5+(7-COUNT(X15,AA15,AD15,AG15,AN15,AQ15,AT15))*'штрафы-карточка'!$B$3</f>
        <v>0</v>
      </c>
      <c r="H15" s="26">
        <f>VLOOKUP(D15,'штрафы-карточка'!$E$2:$L$300,2,FALSE)</f>
        <v>30</v>
      </c>
      <c r="I15" s="26">
        <f>VLOOKUP(D15,'штрафы-карточка'!$E$2:$L$300,3,FALSE)</f>
        <v>0</v>
      </c>
      <c r="J15" s="26">
        <f>VLOOKUP(D15,'штрафы-карточка'!$E$2:$L$300,4,FALSE)</f>
        <v>0</v>
      </c>
      <c r="K15" s="26">
        <f>VLOOKUP(D15,'штрафы-карточка'!$E$2:$L$300,5,FALSE)</f>
        <v>0</v>
      </c>
      <c r="L15" s="26">
        <f>VLOOKUP(D15,'штрафы-карточка'!$E$2:$L$300,6,FALSE)</f>
        <v>90</v>
      </c>
      <c r="M15" s="26">
        <f>VLOOKUP(D15,'штрафы-карточка'!$E$2:$L$300,7,FALSE)</f>
        <v>0</v>
      </c>
      <c r="N15" s="26">
        <f>VLOOKUP(D15,'штрафы-карточка'!$E$2:$L$300,8,FALSE)</f>
        <v>0</v>
      </c>
      <c r="O15" s="61">
        <f t="shared" si="1"/>
        <v>0.4986111111111111</v>
      </c>
      <c r="P15" s="49">
        <v>0.01292824074074074</v>
      </c>
      <c r="Q15" s="57">
        <v>0.3313078703703704</v>
      </c>
      <c r="R15" s="49">
        <v>0.1323263888888889</v>
      </c>
      <c r="S15" s="49">
        <v>0.2006712962962963</v>
      </c>
      <c r="T15" s="57">
        <v>0.08909722222222222</v>
      </c>
      <c r="U15" s="57">
        <v>0.12068287037037036</v>
      </c>
      <c r="V15" s="49">
        <v>0.07376157407407408</v>
      </c>
      <c r="W15" s="49">
        <v>0.07607638888888889</v>
      </c>
      <c r="X15" s="49">
        <v>0.07883101851851852</v>
      </c>
      <c r="Y15" s="57">
        <v>0.03339120370370371</v>
      </c>
      <c r="Z15" s="57">
        <v>0.04177083333333333</v>
      </c>
      <c r="AA15" s="57">
        <v>0.05039351851851851</v>
      </c>
      <c r="AB15" s="49">
        <v>0.22253472222222223</v>
      </c>
      <c r="AC15" s="49">
        <v>0.22253472222222223</v>
      </c>
      <c r="AD15" s="49">
        <v>0.22412037037037036</v>
      </c>
      <c r="AE15" s="57">
        <v>0.2500462962962963</v>
      </c>
      <c r="AF15" s="57">
        <v>0.2549074074074074</v>
      </c>
      <c r="AG15" s="57">
        <v>0.255625</v>
      </c>
      <c r="AH15" s="49">
        <v>0.0416666666666667</v>
      </c>
      <c r="AI15" s="57">
        <v>0.404837962962963</v>
      </c>
      <c r="AJ15" s="57">
        <v>0.41150462962962964</v>
      </c>
      <c r="AK15" s="49">
        <v>0.396574074074074</v>
      </c>
      <c r="AL15" s="57">
        <v>0.33991898148148153</v>
      </c>
      <c r="AM15" s="57">
        <v>0.33991898148148153</v>
      </c>
      <c r="AN15" s="57">
        <v>0.3413888888888889</v>
      </c>
      <c r="AO15" s="49">
        <v>0.35918981481481477</v>
      </c>
      <c r="AP15" s="49">
        <v>0.36038194444444444</v>
      </c>
      <c r="AQ15" s="49">
        <v>0.3623032407407407</v>
      </c>
      <c r="AR15" s="57">
        <v>0.3200925925925926</v>
      </c>
      <c r="AS15" s="57">
        <v>0.32332175925925927</v>
      </c>
      <c r="AT15" s="57">
        <v>0.3265972222222222</v>
      </c>
      <c r="AU15" s="39"/>
      <c r="AV15" s="39"/>
      <c r="AW15" s="39"/>
      <c r="AX15" s="42">
        <v>0.32354166666666667</v>
      </c>
    </row>
    <row r="16" spans="1:50" ht="13.5">
      <c r="A16" s="23" t="s">
        <v>14</v>
      </c>
      <c r="B16" s="21" t="s">
        <v>275</v>
      </c>
      <c r="C16" s="22" t="s">
        <v>334</v>
      </c>
      <c r="D16" s="23" t="s">
        <v>155</v>
      </c>
      <c r="E16" s="23" t="s">
        <v>335</v>
      </c>
      <c r="F16" s="24">
        <f t="shared" si="0"/>
        <v>0.04351851851851851</v>
      </c>
      <c r="G16" s="25">
        <f>(5-COUNT(V16,Y16,AB16,AE16,AH16))*'штрафы-карточка'!$B$4+(4-COUNT(AK16,AL16,AO16,AR16))*'штрафы-карточка'!$B$5+(7-COUNT(X16,AA16,AD16,AG16,AN16,AQ16,AT16))*'штрафы-карточка'!$B$3</f>
        <v>0</v>
      </c>
      <c r="H16" s="26">
        <f>VLOOKUP(D16,'штрафы-карточка'!$E$2:$L$300,2,FALSE)</f>
        <v>180</v>
      </c>
      <c r="I16" s="26">
        <f>VLOOKUP(D16,'штрафы-карточка'!$E$2:$L$300,3,FALSE)</f>
        <v>0</v>
      </c>
      <c r="J16" s="26">
        <f>VLOOKUP(D16,'штрафы-карточка'!$E$2:$L$300,4,FALSE)</f>
        <v>0</v>
      </c>
      <c r="K16" s="26">
        <f>VLOOKUP(D16,'штрафы-карточка'!$E$2:$L$300,5,FALSE)</f>
        <v>0</v>
      </c>
      <c r="L16" s="26">
        <f>VLOOKUP(D16,'штрафы-карточка'!$E$2:$L$300,6,FALSE)</f>
        <v>0</v>
      </c>
      <c r="M16" s="26">
        <f>VLOOKUP(D16,'штрафы-карточка'!$E$2:$L$300,7,FALSE)</f>
        <v>0</v>
      </c>
      <c r="N16" s="26">
        <f>VLOOKUP(D16,'штрафы-карточка'!$E$2:$L$300,8,FALSE)</f>
        <v>0</v>
      </c>
      <c r="O16" s="61">
        <f t="shared" si="1"/>
        <v>0.5368055555555555</v>
      </c>
      <c r="P16" s="49">
        <v>0.008449074074074074</v>
      </c>
      <c r="Q16" s="57">
        <v>0.35013888888888883</v>
      </c>
      <c r="R16" s="49">
        <v>0.1671875</v>
      </c>
      <c r="S16" s="49">
        <v>0.2325462962962963</v>
      </c>
      <c r="T16" s="57">
        <v>0.23285879629629633</v>
      </c>
      <c r="U16" s="57">
        <v>0.26059027777777777</v>
      </c>
      <c r="V16" s="49">
        <v>0.2840509259259259</v>
      </c>
      <c r="W16" s="49">
        <v>0.2876388888888889</v>
      </c>
      <c r="X16" s="49">
        <v>0.2894907407407407</v>
      </c>
      <c r="Y16" s="57">
        <v>0.31657407407407406</v>
      </c>
      <c r="Z16" s="57">
        <v>0.31719907407407405</v>
      </c>
      <c r="AA16" s="57">
        <v>0.32166666666666666</v>
      </c>
      <c r="AB16" s="49">
        <v>0.14574074074074075</v>
      </c>
      <c r="AC16" s="49">
        <v>0.14574074074074075</v>
      </c>
      <c r="AD16" s="49">
        <v>0.15011574074074074</v>
      </c>
      <c r="AE16" s="57">
        <v>0.08606481481481482</v>
      </c>
      <c r="AF16" s="57">
        <v>0.12537037037037038</v>
      </c>
      <c r="AG16" s="57">
        <v>0.12784722222222222</v>
      </c>
      <c r="AH16" s="49">
        <v>0.0416666666666667</v>
      </c>
      <c r="AI16" s="57">
        <v>0.41653935185185187</v>
      </c>
      <c r="AJ16" s="57">
        <v>0.42464120370370373</v>
      </c>
      <c r="AK16" s="49">
        <v>0.43011574074074077</v>
      </c>
      <c r="AL16" s="57">
        <v>0.3562384259259259</v>
      </c>
      <c r="AM16" s="57">
        <v>0.3562384259259259</v>
      </c>
      <c r="AN16" s="57">
        <v>0.35957175925925927</v>
      </c>
      <c r="AO16" s="49">
        <v>0.3783680555555555</v>
      </c>
      <c r="AP16" s="49">
        <v>0.3783680555555555</v>
      </c>
      <c r="AQ16" s="49">
        <v>0.3804166666666667</v>
      </c>
      <c r="AR16" s="57">
        <v>0.3398263888888889</v>
      </c>
      <c r="AS16" s="57">
        <v>0.3398263888888889</v>
      </c>
      <c r="AT16" s="57">
        <v>0.34653935185185186</v>
      </c>
      <c r="AU16" s="39"/>
      <c r="AV16" s="39"/>
      <c r="AW16" s="39"/>
      <c r="AX16" s="39"/>
    </row>
    <row r="17" spans="1:50" ht="13.5">
      <c r="A17" s="23" t="s">
        <v>15</v>
      </c>
      <c r="B17" s="21" t="s">
        <v>275</v>
      </c>
      <c r="C17" s="22" t="s">
        <v>356</v>
      </c>
      <c r="D17" s="23" t="s">
        <v>129</v>
      </c>
      <c r="E17" s="23" t="s">
        <v>357</v>
      </c>
      <c r="F17" s="24">
        <f t="shared" si="0"/>
        <v>0.020219907407407423</v>
      </c>
      <c r="G17" s="25">
        <f>(5-COUNT(V17,Y17,AB17,AE17,AH17))*'штрафы-карточка'!$B$4+(4-COUNT(AK17,AL17,AO17,AR17))*'штрафы-карточка'!$B$5+(7-COUNT(X17,AA17,AD17,AG17,AN17,AQ17,AT17))*'штрафы-карточка'!$B$3</f>
        <v>0</v>
      </c>
      <c r="H17" s="26">
        <f>VLOOKUP(D17,'штрафы-карточка'!$E$2:$L$300,2,FALSE)</f>
        <v>0</v>
      </c>
      <c r="I17" s="26">
        <f>VLOOKUP(D17,'штрафы-карточка'!$E$2:$L$300,3,FALSE)</f>
        <v>60</v>
      </c>
      <c r="J17" s="26">
        <f>VLOOKUP(D17,'штрафы-карточка'!$E$2:$L$300,4,FALSE)</f>
        <v>0</v>
      </c>
      <c r="K17" s="26">
        <f>VLOOKUP(D17,'штрафы-карточка'!$E$2:$L$300,5,FALSE)</f>
        <v>0</v>
      </c>
      <c r="L17" s="26">
        <f>VLOOKUP(D17,'штрафы-карточка'!$E$2:$L$300,6,FALSE)</f>
        <v>0</v>
      </c>
      <c r="M17" s="26">
        <f>VLOOKUP(D17,'штрафы-карточка'!$E$2:$L$300,7,FALSE)</f>
        <v>0</v>
      </c>
      <c r="N17" s="26">
        <f>VLOOKUP(D17,'штрафы-карточка'!$E$2:$L$300,8,FALSE)</f>
        <v>120</v>
      </c>
      <c r="O17" s="61">
        <f t="shared" si="1"/>
        <v>0.553599537037037</v>
      </c>
      <c r="P17" s="49">
        <v>0.010081018518518519</v>
      </c>
      <c r="Q17" s="57">
        <v>0.33523148148148146</v>
      </c>
      <c r="R17" s="49">
        <v>0.09998842592592593</v>
      </c>
      <c r="S17" s="49">
        <v>0.19265046296296295</v>
      </c>
      <c r="T17" s="57">
        <v>0.1928240740740741</v>
      </c>
      <c r="U17" s="57">
        <v>0.21646990740740743</v>
      </c>
      <c r="V17" s="49">
        <v>0.23296296296296296</v>
      </c>
      <c r="W17" s="49">
        <v>0.23296296296296296</v>
      </c>
      <c r="X17" s="49">
        <v>0.2348148148148148</v>
      </c>
      <c r="Y17" s="57">
        <v>0.30126157407407406</v>
      </c>
      <c r="Z17" s="57">
        <v>0.3020949074074074</v>
      </c>
      <c r="AA17" s="57">
        <v>0.30420138888888887</v>
      </c>
      <c r="AB17" s="49">
        <v>0.08177083333333333</v>
      </c>
      <c r="AC17" s="49">
        <v>0.08177083333333333</v>
      </c>
      <c r="AD17" s="49">
        <v>0.08394675925925926</v>
      </c>
      <c r="AE17" s="57">
        <v>0.05590277777777778</v>
      </c>
      <c r="AF17" s="57">
        <v>0.070625</v>
      </c>
      <c r="AG17" s="57">
        <v>0.07159722222222221</v>
      </c>
      <c r="AH17" s="49">
        <v>0.0416666666666667</v>
      </c>
      <c r="AI17" s="57">
        <v>0.39898148148148144</v>
      </c>
      <c r="AJ17" s="57">
        <v>0.4054166666666667</v>
      </c>
      <c r="AK17" s="49">
        <v>0.3892708333333333</v>
      </c>
      <c r="AL17" s="57">
        <v>0.43895833333333334</v>
      </c>
      <c r="AM17" s="57">
        <v>0.44289351851851855</v>
      </c>
      <c r="AN17" s="57">
        <v>0.44471064814814815</v>
      </c>
      <c r="AO17" s="49">
        <v>0.3506481481481481</v>
      </c>
      <c r="AP17" s="49">
        <v>0.3510069444444444</v>
      </c>
      <c r="AQ17" s="49">
        <v>0.3523148148148148</v>
      </c>
      <c r="AR17" s="57">
        <v>0.3232291666666667</v>
      </c>
      <c r="AS17" s="57">
        <v>0.32359953703703703</v>
      </c>
      <c r="AT17" s="57">
        <v>0.3312615740740741</v>
      </c>
      <c r="AU17" s="39"/>
      <c r="AV17" s="39"/>
      <c r="AW17" s="39"/>
      <c r="AX17" s="39"/>
    </row>
    <row r="18" spans="1:50" ht="13.5">
      <c r="A18" s="23" t="s">
        <v>16</v>
      </c>
      <c r="B18" s="21" t="s">
        <v>275</v>
      </c>
      <c r="C18" s="22" t="s">
        <v>392</v>
      </c>
      <c r="D18" s="23" t="s">
        <v>151</v>
      </c>
      <c r="E18" s="23" t="s">
        <v>393</v>
      </c>
      <c r="F18" s="24">
        <f t="shared" si="0"/>
        <v>0.01386574074074065</v>
      </c>
      <c r="G18" s="25">
        <f>(5-COUNT(V18,Y18,AB18,AE18,AH18))*'штрафы-карточка'!$B$4+(4-COUNT(AK18,AL18,AO18,AR18))*'штрафы-карточка'!$B$5+(7-COUNT(X18,AA18,AD18,AG18,AN18,AQ18,AT18))*'штрафы-карточка'!$B$3</f>
        <v>240</v>
      </c>
      <c r="H18" s="26">
        <f>VLOOKUP(D18,'штрафы-карточка'!$E$2:$L$300,2,FALSE)</f>
        <v>0</v>
      </c>
      <c r="I18" s="26">
        <f>VLOOKUP(D18,'штрафы-карточка'!$E$2:$L$300,3,FALSE)</f>
        <v>0</v>
      </c>
      <c r="J18" s="26">
        <f>VLOOKUP(D18,'штрафы-карточка'!$E$2:$L$300,4,FALSE)</f>
        <v>0</v>
      </c>
      <c r="K18" s="26">
        <f>VLOOKUP(D18,'штрафы-карточка'!$E$2:$L$300,5,FALSE)</f>
        <v>0</v>
      </c>
      <c r="L18" s="26">
        <f>VLOOKUP(D18,'штрафы-карточка'!$E$2:$L$300,6,FALSE)</f>
        <v>0</v>
      </c>
      <c r="M18" s="26">
        <f>VLOOKUP(D18,'штрафы-карточка'!$E$2:$L$300,7,FALSE)</f>
        <v>0</v>
      </c>
      <c r="N18" s="26">
        <f>VLOOKUP(D18,'штрафы-карточка'!$E$2:$L$300,8,FALSE)</f>
        <v>0</v>
      </c>
      <c r="O18" s="61">
        <f t="shared" si="1"/>
        <v>0.5885185185185187</v>
      </c>
      <c r="P18" s="49">
        <v>0.007835648148148149</v>
      </c>
      <c r="Q18" s="57">
        <v>0.3028125</v>
      </c>
      <c r="R18" s="49">
        <v>0.1030787037037037</v>
      </c>
      <c r="S18" s="49">
        <v>0.17438657407407407</v>
      </c>
      <c r="T18" s="57">
        <v>0.17453703703703705</v>
      </c>
      <c r="U18" s="57">
        <v>0.2246875</v>
      </c>
      <c r="V18" s="49">
        <v>0.24780092592592592</v>
      </c>
      <c r="W18" s="49">
        <v>0.24780092592592592</v>
      </c>
      <c r="X18" s="49">
        <v>0.2495023148148148</v>
      </c>
      <c r="Y18" s="57">
        <v>0.274837962962963</v>
      </c>
      <c r="Z18" s="57">
        <v>0.2762037037037037</v>
      </c>
      <c r="AA18" s="57"/>
      <c r="AB18" s="49">
        <v>0.08502314814814815</v>
      </c>
      <c r="AC18" s="49">
        <v>0.08556712962962963</v>
      </c>
      <c r="AD18" s="49">
        <v>0.08708333333333333</v>
      </c>
      <c r="AE18" s="57">
        <v>0.055983796296296295</v>
      </c>
      <c r="AF18" s="57">
        <v>0.06741898148148148</v>
      </c>
      <c r="AG18" s="57">
        <v>0.06818287037037037</v>
      </c>
      <c r="AH18" s="49">
        <v>0.0416666666666667</v>
      </c>
      <c r="AI18" s="57">
        <v>0.3784375</v>
      </c>
      <c r="AJ18" s="57">
        <v>0.3876851851851852</v>
      </c>
      <c r="AK18" s="49">
        <v>0.372337962962963</v>
      </c>
      <c r="AL18" s="57">
        <v>0.3402662037037037</v>
      </c>
      <c r="AM18" s="57">
        <v>0.3402662037037037</v>
      </c>
      <c r="AN18" s="57">
        <v>0.3420601851851852</v>
      </c>
      <c r="AO18" s="49">
        <v>0.3356712962962963</v>
      </c>
      <c r="AP18" s="49">
        <v>0.3361921296296296</v>
      </c>
      <c r="AQ18" s="49">
        <v>0.33844907407407404</v>
      </c>
      <c r="AR18" s="67">
        <v>0.3993055555555556</v>
      </c>
      <c r="AS18" s="67">
        <v>0.3993055555555556</v>
      </c>
      <c r="AT18" s="57"/>
      <c r="AU18" s="39"/>
      <c r="AV18" s="39"/>
      <c r="AW18" s="39"/>
      <c r="AX18" s="39"/>
    </row>
    <row r="19" spans="1:50" ht="13.5">
      <c r="A19" s="23" t="s">
        <v>17</v>
      </c>
      <c r="B19" s="21" t="s">
        <v>275</v>
      </c>
      <c r="C19" s="22" t="s">
        <v>324</v>
      </c>
      <c r="D19" s="23" t="s">
        <v>143</v>
      </c>
      <c r="E19" s="23" t="s">
        <v>325</v>
      </c>
      <c r="F19" s="24">
        <f t="shared" si="0"/>
        <v>0.042233796296296255</v>
      </c>
      <c r="G19" s="25">
        <f>(5-COUNT(V19,Y19,AB19,AE19,AH19))*'штрафы-карточка'!$B$4+(4-COUNT(AK19,AL19,AO19,AR19))*'штрафы-карточка'!$B$5+(7-COUNT(X19,AA19,AD19,AG19,AN19,AQ19,AT19))*'штрафы-карточка'!$B$3</f>
        <v>0</v>
      </c>
      <c r="H19" s="26">
        <f>VLOOKUP(D19,'штрафы-карточка'!$E$2:$L$300,2,FALSE)</f>
        <v>120</v>
      </c>
      <c r="I19" s="26">
        <f>VLOOKUP(D19,'штрафы-карточка'!$E$2:$L$300,3,FALSE)</f>
        <v>120</v>
      </c>
      <c r="J19" s="26">
        <f>VLOOKUP(D19,'штрафы-карточка'!$E$2:$L$300,4,FALSE)</f>
        <v>0</v>
      </c>
      <c r="K19" s="26">
        <f>VLOOKUP(D19,'штрафы-карточка'!$E$2:$L$300,5,FALSE)</f>
        <v>0</v>
      </c>
      <c r="L19" s="26">
        <f>VLOOKUP(D19,'штрафы-карточка'!$E$2:$L$300,6,FALSE)</f>
        <v>0</v>
      </c>
      <c r="M19" s="26">
        <f>VLOOKUP(D19,'штрафы-карточка'!$E$2:$L$300,7,FALSE)</f>
        <v>150</v>
      </c>
      <c r="N19" s="26">
        <f>VLOOKUP(D19,'штрафы-карточка'!$E$2:$L$300,8,FALSE)</f>
        <v>0</v>
      </c>
      <c r="O19" s="61">
        <f t="shared" si="1"/>
        <v>0.678611111111111</v>
      </c>
      <c r="P19" s="49">
        <v>0.011238425925925928</v>
      </c>
      <c r="Q19" s="57">
        <v>0.33738425925925924</v>
      </c>
      <c r="R19" s="49">
        <v>0.2771180555555555</v>
      </c>
      <c r="S19" s="49"/>
      <c r="T19" s="57">
        <v>0.1500462962962963</v>
      </c>
      <c r="U19" s="57">
        <v>0.1878472222222222</v>
      </c>
      <c r="V19" s="49">
        <v>0.2956597222222222</v>
      </c>
      <c r="W19" s="49">
        <v>0.2956597222222222</v>
      </c>
      <c r="X19" s="49">
        <v>0.2982638888888889</v>
      </c>
      <c r="Y19" s="57">
        <v>0.12643518518518518</v>
      </c>
      <c r="Z19" s="57">
        <v>0.1272337962962963</v>
      </c>
      <c r="AA19" s="57">
        <v>0.12872685185185184</v>
      </c>
      <c r="AB19" s="49">
        <v>0.1338888888888889</v>
      </c>
      <c r="AC19" s="49">
        <v>0.1338888888888889</v>
      </c>
      <c r="AD19" s="49">
        <v>0.13489583333333333</v>
      </c>
      <c r="AE19" s="57">
        <v>0.07282407407407408</v>
      </c>
      <c r="AF19" s="57">
        <v>0.11344907407407408</v>
      </c>
      <c r="AG19" s="57">
        <v>0.11412037037037037</v>
      </c>
      <c r="AH19" s="49">
        <v>0.0416666666666667</v>
      </c>
      <c r="AI19" s="57"/>
      <c r="AJ19" s="57"/>
      <c r="AK19" s="49">
        <v>0.4013657407407407</v>
      </c>
      <c r="AL19" s="57">
        <v>0.3505671296296296</v>
      </c>
      <c r="AM19" s="57">
        <v>0.3505671296296296</v>
      </c>
      <c r="AN19" s="57">
        <v>0.35232638888888884</v>
      </c>
      <c r="AO19" s="49">
        <v>0.3633449074074074</v>
      </c>
      <c r="AP19" s="49">
        <v>0.36415509259259254</v>
      </c>
      <c r="AQ19" s="49">
        <v>0.3653009259259259</v>
      </c>
      <c r="AR19" s="57">
        <v>0.3286921296296296</v>
      </c>
      <c r="AS19" s="57">
        <v>0.3286921296296296</v>
      </c>
      <c r="AT19" s="57">
        <v>0.33368055555555554</v>
      </c>
      <c r="AU19" s="39"/>
      <c r="AV19" s="39"/>
      <c r="AW19" s="39"/>
      <c r="AX19" s="39"/>
    </row>
    <row r="20" spans="1:50" ht="13.5">
      <c r="A20" s="23" t="s">
        <v>18</v>
      </c>
      <c r="B20" s="21" t="s">
        <v>275</v>
      </c>
      <c r="C20" s="22" t="s">
        <v>318</v>
      </c>
      <c r="D20" s="23" t="s">
        <v>144</v>
      </c>
      <c r="E20" s="23" t="s">
        <v>319</v>
      </c>
      <c r="F20" s="24">
        <f t="shared" si="0"/>
        <v>0.052395833333333364</v>
      </c>
      <c r="G20" s="25">
        <f>(5-COUNT(V20,Y20,AB20,AE20,AH20))*'штрафы-карточка'!$B$4+(4-COUNT(AK20,AL20,AO20,AR20))*'штрафы-карточка'!$B$5+(7-COUNT(X20,AA20,AD20,AG20,AN20,AQ20,AT20))*'штрафы-карточка'!$B$3</f>
        <v>0</v>
      </c>
      <c r="H20" s="26">
        <f>VLOOKUP(D20,'штрафы-карточка'!$E$2:$L$300,2,FALSE)</f>
        <v>420</v>
      </c>
      <c r="I20" s="26">
        <f>VLOOKUP(D20,'штрафы-карточка'!$E$2:$L$300,3,FALSE)</f>
        <v>0</v>
      </c>
      <c r="J20" s="26">
        <f>VLOOKUP(D20,'штрафы-карточка'!$E$2:$L$300,4,FALSE)</f>
        <v>0</v>
      </c>
      <c r="K20" s="26">
        <f>VLOOKUP(D20,'штрафы-карточка'!$E$2:$L$300,5,FALSE)</f>
        <v>0</v>
      </c>
      <c r="L20" s="26">
        <f>VLOOKUP(D20,'штрафы-карточка'!$E$2:$L$300,6,FALSE)</f>
        <v>0</v>
      </c>
      <c r="M20" s="26">
        <f>VLOOKUP(D20,'штрафы-карточка'!$E$2:$L$300,7,FALSE)</f>
        <v>0</v>
      </c>
      <c r="N20" s="26">
        <f>VLOOKUP(D20,'штрафы-карточка'!$E$2:$L$300,8,FALSE)</f>
        <v>0</v>
      </c>
      <c r="O20" s="61">
        <f t="shared" si="1"/>
        <v>0.694212962962963</v>
      </c>
      <c r="P20" s="49">
        <v>0.010625</v>
      </c>
      <c r="Q20" s="57">
        <v>0.3804282407407407</v>
      </c>
      <c r="R20" s="49">
        <v>0.2951273148148148</v>
      </c>
      <c r="S20" s="49"/>
      <c r="T20" s="57">
        <v>0.15519675925925927</v>
      </c>
      <c r="U20" s="57">
        <v>0.1884837962962963</v>
      </c>
      <c r="V20" s="49">
        <v>0.3368865740740741</v>
      </c>
      <c r="W20" s="49">
        <v>0.3368865740740741</v>
      </c>
      <c r="X20" s="49">
        <v>0.3394328703703704</v>
      </c>
      <c r="Y20" s="57">
        <v>0.30885416666666665</v>
      </c>
      <c r="Z20" s="57">
        <v>0.3095138888888889</v>
      </c>
      <c r="AA20" s="57">
        <v>0.3115277777777778</v>
      </c>
      <c r="AB20" s="49">
        <v>0.13501157407407408</v>
      </c>
      <c r="AC20" s="49">
        <v>0.13501157407407408</v>
      </c>
      <c r="AD20" s="49">
        <v>0.1372685185185185</v>
      </c>
      <c r="AE20" s="57">
        <v>0.06633101851851851</v>
      </c>
      <c r="AF20" s="57">
        <v>0.11806712962962962</v>
      </c>
      <c r="AG20" s="57">
        <v>0.11899305555555556</v>
      </c>
      <c r="AH20" s="49">
        <v>0.0416666666666667</v>
      </c>
      <c r="AI20" s="57">
        <v>0.430787037037037</v>
      </c>
      <c r="AJ20" s="57">
        <v>0.4392129629629629</v>
      </c>
      <c r="AK20" s="49">
        <v>0.4267476851851852</v>
      </c>
      <c r="AL20" s="57">
        <v>0.3864930555555555</v>
      </c>
      <c r="AM20" s="57">
        <v>0.3864930555555555</v>
      </c>
      <c r="AN20" s="57">
        <v>0.3883449074074074</v>
      </c>
      <c r="AO20" s="49">
        <v>0.4044560185185185</v>
      </c>
      <c r="AP20" s="49">
        <v>0.4044560185185185</v>
      </c>
      <c r="AQ20" s="49">
        <v>0.40587962962962965</v>
      </c>
      <c r="AR20" s="57">
        <v>0.3685416666666667</v>
      </c>
      <c r="AS20" s="57">
        <v>0.3685416666666667</v>
      </c>
      <c r="AT20" s="57">
        <v>0.376875</v>
      </c>
      <c r="AU20" s="39"/>
      <c r="AV20" s="39"/>
      <c r="AW20" s="39"/>
      <c r="AX20" s="39"/>
    </row>
    <row r="21" spans="1:50" ht="13.5">
      <c r="A21" s="23" t="s">
        <v>19</v>
      </c>
      <c r="B21" s="21" t="s">
        <v>275</v>
      </c>
      <c r="C21" s="22" t="s">
        <v>376</v>
      </c>
      <c r="D21" s="23" t="s">
        <v>140</v>
      </c>
      <c r="E21" s="23" t="s">
        <v>377</v>
      </c>
      <c r="F21" s="24">
        <f t="shared" si="0"/>
        <v>0.016608796296296302</v>
      </c>
      <c r="G21" s="25">
        <f>(5-COUNT(V21,Y21,AB21,AE21,AH21))*'штрафы-карточка'!$B$4+(4-COUNT(AK21,AL21,AO21,AR21))*'штрафы-карточка'!$B$5+(7-COUNT(X21,AA21,AD21,AG21,AN21,AQ21,AT21))*'штрафы-карточка'!$B$3</f>
        <v>120</v>
      </c>
      <c r="H21" s="26">
        <f>VLOOKUP(D21,'штрафы-карточка'!$E$2:$L$300,2,FALSE)</f>
        <v>180</v>
      </c>
      <c r="I21" s="26">
        <f>VLOOKUP(D21,'штрафы-карточка'!$E$2:$L$300,3,FALSE)</f>
        <v>0</v>
      </c>
      <c r="J21" s="26">
        <f>VLOOKUP(D21,'штрафы-карточка'!$E$2:$L$300,4,FALSE)</f>
        <v>0</v>
      </c>
      <c r="K21" s="26">
        <f>VLOOKUP(D21,'штрафы-карточка'!$E$2:$L$300,5,FALSE)</f>
        <v>0</v>
      </c>
      <c r="L21" s="26">
        <f>VLOOKUP(D21,'штрафы-карточка'!$E$2:$L$300,6,FALSE)</f>
        <v>0</v>
      </c>
      <c r="M21" s="26">
        <f>VLOOKUP(D21,'штрафы-карточка'!$E$2:$L$300,7,FALSE)</f>
        <v>150</v>
      </c>
      <c r="N21" s="26">
        <f>VLOOKUP(D21,'штрафы-карточка'!$E$2:$L$300,8,FALSE)</f>
        <v>0</v>
      </c>
      <c r="O21" s="61">
        <f t="shared" si="1"/>
        <v>0.734988425925926</v>
      </c>
      <c r="P21" s="49">
        <v>0.007627314814814815</v>
      </c>
      <c r="Q21" s="57">
        <v>0.35465277777777776</v>
      </c>
      <c r="R21" s="49">
        <v>0.09167824074074075</v>
      </c>
      <c r="S21" s="49">
        <v>0.14604166666666665</v>
      </c>
      <c r="T21" s="57">
        <v>0.15375</v>
      </c>
      <c r="U21" s="57">
        <v>0.20182870370370373</v>
      </c>
      <c r="V21" s="49">
        <v>0.06924768518518519</v>
      </c>
      <c r="W21" s="49">
        <v>0.07306712962962963</v>
      </c>
      <c r="X21" s="49">
        <v>0.07700231481481482</v>
      </c>
      <c r="Y21" s="57">
        <v>0.03108796296296296</v>
      </c>
      <c r="Z21" s="57">
        <v>0.04387731481481482</v>
      </c>
      <c r="AA21" s="57"/>
      <c r="AB21" s="49">
        <v>0.23473379629629632</v>
      </c>
      <c r="AC21" s="49">
        <v>0.23473379629629632</v>
      </c>
      <c r="AD21" s="49">
        <v>0.23685185185185187</v>
      </c>
      <c r="AE21" s="57">
        <v>0.27</v>
      </c>
      <c r="AF21" s="57">
        <v>0.27</v>
      </c>
      <c r="AG21" s="57">
        <v>0.2712847222222222</v>
      </c>
      <c r="AH21" s="49">
        <v>0.0416666666666667</v>
      </c>
      <c r="AI21" s="57"/>
      <c r="AJ21" s="57"/>
      <c r="AK21" s="49">
        <v>0.41561342592592593</v>
      </c>
      <c r="AL21" s="57">
        <v>0.3640393518518519</v>
      </c>
      <c r="AM21" s="57">
        <v>0.3640393518518519</v>
      </c>
      <c r="AN21" s="57">
        <v>0.36594907407407407</v>
      </c>
      <c r="AO21" s="49">
        <v>0.38663194444444443</v>
      </c>
      <c r="AP21" s="49">
        <v>0.38663194444444443</v>
      </c>
      <c r="AQ21" s="49">
        <v>0.3884606481481481</v>
      </c>
      <c r="AR21" s="57">
        <v>0.34612268518518513</v>
      </c>
      <c r="AS21" s="57">
        <v>0.34612268518518513</v>
      </c>
      <c r="AT21" s="57">
        <v>0.34932870370370367</v>
      </c>
      <c r="AU21" s="39"/>
      <c r="AV21" s="39"/>
      <c r="AW21" s="39"/>
      <c r="AX21" s="39"/>
    </row>
    <row r="22" spans="1:50" ht="13.5">
      <c r="A22" s="23" t="s">
        <v>20</v>
      </c>
      <c r="B22" s="21" t="s">
        <v>275</v>
      </c>
      <c r="C22" s="22" t="s">
        <v>370</v>
      </c>
      <c r="D22" s="23" t="s">
        <v>161</v>
      </c>
      <c r="E22" s="23" t="s">
        <v>371</v>
      </c>
      <c r="F22" s="24">
        <f t="shared" si="0"/>
        <v>0.008298611111111132</v>
      </c>
      <c r="G22" s="25">
        <f>(5-COUNT(V22,Y22,AB22,AE22,AH22))*'штрафы-карточка'!$B$4+(4-COUNT(AK22,AL22,AO22,AR22))*'штрафы-карточка'!$B$5+(7-COUNT(X22,AA22,AD22,AG22,AN22,AQ22,AT22))*'штрафы-карточка'!$B$3</f>
        <v>30</v>
      </c>
      <c r="H22" s="26">
        <f>VLOOKUP(D22,'штрафы-карточка'!$E$2:$L$300,2,FALSE)</f>
        <v>450</v>
      </c>
      <c r="I22" s="26">
        <f>VLOOKUP(D22,'штрафы-карточка'!$E$2:$L$300,3,FALSE)</f>
        <v>0</v>
      </c>
      <c r="J22" s="26">
        <f>VLOOKUP(D22,'штрафы-карточка'!$E$2:$L$300,4,FALSE)</f>
        <v>0</v>
      </c>
      <c r="K22" s="26">
        <f>VLOOKUP(D22,'штрафы-карточка'!$E$2:$L$300,5,FALSE)</f>
        <v>0</v>
      </c>
      <c r="L22" s="26">
        <f>VLOOKUP(D22,'штрафы-карточка'!$E$2:$L$300,6,FALSE)</f>
        <v>30</v>
      </c>
      <c r="M22" s="26">
        <f>VLOOKUP(D22,'штрафы-карточка'!$E$2:$L$300,7,FALSE)</f>
        <v>150</v>
      </c>
      <c r="N22" s="26">
        <f>VLOOKUP(D22,'штрафы-карточка'!$E$2:$L$300,8,FALSE)</f>
        <v>0</v>
      </c>
      <c r="O22" s="61">
        <f t="shared" si="1"/>
        <v>0.9001967592592592</v>
      </c>
      <c r="P22" s="49">
        <v>0.0121875</v>
      </c>
      <c r="Q22" s="57">
        <v>0.36484953703703704</v>
      </c>
      <c r="R22" s="49">
        <v>0.11582175925925926</v>
      </c>
      <c r="S22" s="49">
        <v>0.19511574074074076</v>
      </c>
      <c r="T22" s="57">
        <v>0.07465277777777778</v>
      </c>
      <c r="U22" s="57">
        <v>0.11059027777777779</v>
      </c>
      <c r="V22" s="49">
        <v>0.05428240740740741</v>
      </c>
      <c r="W22" s="49">
        <v>0.06063657407407408</v>
      </c>
      <c r="X22" s="49">
        <v>0.06378472222222221</v>
      </c>
      <c r="Y22" s="57">
        <v>0.23291666666666666</v>
      </c>
      <c r="Z22" s="57">
        <v>0.2342013888888889</v>
      </c>
      <c r="AA22" s="57">
        <v>0.2390625</v>
      </c>
      <c r="AB22" s="49">
        <v>0.22324074074074074</v>
      </c>
      <c r="AC22" s="49">
        <v>0.22324074074074074</v>
      </c>
      <c r="AD22" s="49">
        <v>0.22559027777777776</v>
      </c>
      <c r="AE22" s="57">
        <v>0.2724074074074074</v>
      </c>
      <c r="AF22" s="57">
        <v>0.2724074074074074</v>
      </c>
      <c r="AG22" s="57">
        <v>0.27567129629629633</v>
      </c>
      <c r="AH22" s="49">
        <v>0.0416666666666667</v>
      </c>
      <c r="AI22" s="57"/>
      <c r="AJ22" s="57"/>
      <c r="AK22" s="49"/>
      <c r="AL22" s="57">
        <v>0.3722800925925926</v>
      </c>
      <c r="AM22" s="57">
        <v>0.3729398148148148</v>
      </c>
      <c r="AN22" s="57">
        <v>0.3755324074074074</v>
      </c>
      <c r="AO22" s="49">
        <v>0.39567129629629627</v>
      </c>
      <c r="AP22" s="49">
        <v>0.39567129629629627</v>
      </c>
      <c r="AQ22" s="49">
        <v>0.40019675925925924</v>
      </c>
      <c r="AR22" s="57">
        <v>0.35171296296296295</v>
      </c>
      <c r="AS22" s="57">
        <v>0.35171296296296295</v>
      </c>
      <c r="AT22" s="57">
        <v>0.3578125</v>
      </c>
      <c r="AU22" s="39"/>
      <c r="AV22" s="39"/>
      <c r="AW22" s="39"/>
      <c r="AX22" s="39"/>
    </row>
    <row r="23" spans="1:50" ht="13.5">
      <c r="A23" s="23" t="s">
        <v>21</v>
      </c>
      <c r="B23" s="21" t="s">
        <v>275</v>
      </c>
      <c r="C23" s="22" t="s">
        <v>378</v>
      </c>
      <c r="D23" s="23" t="s">
        <v>149</v>
      </c>
      <c r="E23" s="23" t="s">
        <v>379</v>
      </c>
      <c r="F23" s="24">
        <f t="shared" si="0"/>
        <v>0.03776620370370365</v>
      </c>
      <c r="G23" s="25">
        <f>(5-COUNT(V23,Y23,AB23,AE23,AH23))*'штрафы-карточка'!$B$4+(4-COUNT(AK23,AL23,AO23,AR23))*'штрафы-карточка'!$B$5+(7-COUNT(X23,AA23,AD23,AG23,AN23,AQ23,AT23))*'штрафы-карточка'!$B$3</f>
        <v>150</v>
      </c>
      <c r="H23" s="26">
        <f>VLOOKUP(D23,'штрафы-карточка'!$E$2:$L$300,2,FALSE)</f>
        <v>180</v>
      </c>
      <c r="I23" s="26">
        <f>VLOOKUP(D23,'штрафы-карточка'!$E$2:$L$300,3,FALSE)</f>
        <v>60</v>
      </c>
      <c r="J23" s="26">
        <f>VLOOKUP(D23,'штрафы-карточка'!$E$2:$L$300,4,FALSE)</f>
        <v>0</v>
      </c>
      <c r="K23" s="26">
        <f>VLOOKUP(D23,'штрафы-карточка'!$E$2:$L$300,5,FALSE)</f>
        <v>0</v>
      </c>
      <c r="L23" s="26">
        <f>VLOOKUP(D23,'штрафы-карточка'!$E$2:$L$300,6,FALSE)</f>
        <v>180</v>
      </c>
      <c r="M23" s="26">
        <f>VLOOKUP(D23,'штрафы-карточка'!$E$2:$L$300,7,FALSE)</f>
        <v>150</v>
      </c>
      <c r="N23" s="26">
        <f>VLOOKUP(D23,'штрафы-карточка'!$E$2:$L$300,8,FALSE)</f>
        <v>30</v>
      </c>
      <c r="O23" s="61">
        <f t="shared" si="1"/>
        <v>0.9233680555555556</v>
      </c>
      <c r="P23" s="49">
        <v>0.009247685185185185</v>
      </c>
      <c r="Q23" s="57">
        <v>0.3378703703703703</v>
      </c>
      <c r="R23" s="49">
        <v>0.2000925925925926</v>
      </c>
      <c r="S23" s="49">
        <v>0.2734259259259259</v>
      </c>
      <c r="T23" s="57">
        <v>0.16071759259259258</v>
      </c>
      <c r="U23" s="57">
        <v>0.19690972222222222</v>
      </c>
      <c r="V23" s="49">
        <v>0.29856481481481484</v>
      </c>
      <c r="W23" s="49">
        <v>0.29856481481481484</v>
      </c>
      <c r="X23" s="49">
        <v>0.3018865740740741</v>
      </c>
      <c r="Y23" s="57">
        <v>0.1187037037037037</v>
      </c>
      <c r="Z23" s="57">
        <v>0.1187037037037037</v>
      </c>
      <c r="AA23" s="57">
        <v>0.12240740740740741</v>
      </c>
      <c r="AB23" s="49">
        <v>0.1297337962962963</v>
      </c>
      <c r="AC23" s="49">
        <v>0.1297337962962963</v>
      </c>
      <c r="AD23" s="49">
        <v>0.13207175925925926</v>
      </c>
      <c r="AE23" s="57">
        <v>0.06412037037037037</v>
      </c>
      <c r="AF23" s="57">
        <v>0.099375</v>
      </c>
      <c r="AG23" s="57">
        <v>0.1005787037037037</v>
      </c>
      <c r="AH23" s="49">
        <v>0.0416666666666667</v>
      </c>
      <c r="AI23" s="57"/>
      <c r="AJ23" s="57"/>
      <c r="AK23" s="49">
        <v>0.40016203703703707</v>
      </c>
      <c r="AL23" s="57">
        <v>0.36863425925925924</v>
      </c>
      <c r="AM23" s="57">
        <v>0.36863425925925924</v>
      </c>
      <c r="AN23" s="57">
        <v>0.3712384259259259</v>
      </c>
      <c r="AO23" s="49">
        <v>0.35974537037037035</v>
      </c>
      <c r="AP23" s="49">
        <v>0.3622569444444444</v>
      </c>
      <c r="AQ23" s="49">
        <v>0.3642824074074074</v>
      </c>
      <c r="AR23" s="57"/>
      <c r="AS23" s="57"/>
      <c r="AT23" s="57"/>
      <c r="AU23" s="39"/>
      <c r="AV23" s="39"/>
      <c r="AW23" s="39"/>
      <c r="AX23" s="39"/>
    </row>
    <row r="24" spans="1:50" ht="13.5">
      <c r="A24" s="23" t="s">
        <v>22</v>
      </c>
      <c r="B24" s="21" t="s">
        <v>275</v>
      </c>
      <c r="C24" s="22" t="s">
        <v>362</v>
      </c>
      <c r="D24" s="23" t="s">
        <v>136</v>
      </c>
      <c r="E24" s="23" t="s">
        <v>363</v>
      </c>
      <c r="F24" s="24">
        <f t="shared" si="0"/>
        <v>0.004803240740740733</v>
      </c>
      <c r="G24" s="25">
        <f>(5-COUNT(V24,Y24,AB24,AE24,AH24))*'штрафы-карточка'!$B$4+(4-COUNT(AK24,AL24,AO24,AR24))*'штрафы-карточка'!$B$5+(7-COUNT(X24,AA24,AD24,AG24,AN24,AQ24,AT24))*'штрафы-карточка'!$B$3</f>
        <v>30</v>
      </c>
      <c r="H24" s="26">
        <f>VLOOKUP(D24,'штрафы-карточка'!$E$2:$L$300,2,FALSE)</f>
        <v>780</v>
      </c>
      <c r="I24" s="26">
        <f>VLOOKUP(D24,'штрафы-карточка'!$E$2:$L$300,3,FALSE)</f>
        <v>0</v>
      </c>
      <c r="J24" s="26">
        <f>VLOOKUP(D24,'штрафы-карточка'!$E$2:$L$300,4,FALSE)</f>
        <v>0</v>
      </c>
      <c r="K24" s="26">
        <f>VLOOKUP(D24,'штрафы-карточка'!$E$2:$L$300,5,FALSE)</f>
        <v>0</v>
      </c>
      <c r="L24" s="26">
        <f>VLOOKUP(D24,'штрафы-карточка'!$E$2:$L$300,6,FALSE)</f>
        <v>0</v>
      </c>
      <c r="M24" s="26">
        <f>VLOOKUP(D24,'штрафы-карточка'!$E$2:$L$300,7,FALSE)</f>
        <v>150</v>
      </c>
      <c r="N24" s="26">
        <f>VLOOKUP(D24,'штрафы-карточка'!$E$2:$L$300,8,FALSE)</f>
        <v>0</v>
      </c>
      <c r="O24" s="61">
        <f t="shared" si="1"/>
        <v>1.0841087962962963</v>
      </c>
      <c r="P24" s="49">
        <v>0.011851851851851851</v>
      </c>
      <c r="Q24" s="57">
        <v>0.385775462962963</v>
      </c>
      <c r="R24" s="49">
        <v>0.23</v>
      </c>
      <c r="S24" s="49"/>
      <c r="T24" s="57">
        <v>0.08081018518518518</v>
      </c>
      <c r="U24" s="57">
        <v>0.12465277777777778</v>
      </c>
      <c r="V24" s="49">
        <v>0.05243055555555556</v>
      </c>
      <c r="W24" s="49">
        <v>0.05243055555555556</v>
      </c>
      <c r="X24" s="49">
        <v>0.05815972222222222</v>
      </c>
      <c r="Y24" s="57">
        <v>0.2697453703703704</v>
      </c>
      <c r="Z24" s="57">
        <v>0.2697453703703704</v>
      </c>
      <c r="AA24" s="57">
        <v>0.27586805555555555</v>
      </c>
      <c r="AB24" s="49">
        <v>0.2596527777777778</v>
      </c>
      <c r="AC24" s="49">
        <v>0.26209490740740743</v>
      </c>
      <c r="AD24" s="49">
        <v>0.2641087962962963</v>
      </c>
      <c r="AE24" s="57">
        <v>0.3001388888888889</v>
      </c>
      <c r="AF24" s="57">
        <v>0.3025</v>
      </c>
      <c r="AG24" s="57">
        <v>0.30398148148148146</v>
      </c>
      <c r="AH24" s="49">
        <v>0.0416666666666667</v>
      </c>
      <c r="AI24" s="57"/>
      <c r="AJ24" s="57"/>
      <c r="AK24" s="49"/>
      <c r="AL24" s="57">
        <v>0.3967361111111111</v>
      </c>
      <c r="AM24" s="57">
        <v>0.3967361111111111</v>
      </c>
      <c r="AN24" s="57">
        <v>0.39958333333333335</v>
      </c>
      <c r="AO24" s="49">
        <v>0.4134259259259259</v>
      </c>
      <c r="AP24" s="49">
        <v>0.4134259259259259</v>
      </c>
      <c r="AQ24" s="49">
        <v>0.4151736111111111</v>
      </c>
      <c r="AR24" s="57">
        <v>0.3737037037037037</v>
      </c>
      <c r="AS24" s="57">
        <v>0.3737037037037037</v>
      </c>
      <c r="AT24" s="57">
        <v>0.3825</v>
      </c>
      <c r="AU24" s="39"/>
      <c r="AV24" s="39"/>
      <c r="AW24" s="39"/>
      <c r="AX24" s="39"/>
    </row>
    <row r="25" spans="1:50" ht="13.5">
      <c r="A25" s="23" t="s">
        <v>23</v>
      </c>
      <c r="B25" s="21" t="s">
        <v>275</v>
      </c>
      <c r="C25" s="22" t="s">
        <v>396</v>
      </c>
      <c r="D25" s="23" t="s">
        <v>148</v>
      </c>
      <c r="E25" s="23" t="s">
        <v>397</v>
      </c>
      <c r="F25" s="24">
        <f t="shared" si="0"/>
        <v>0.026458333333333306</v>
      </c>
      <c r="G25" s="25">
        <f>(5-COUNT(V25,Y25,AB25,AE25,AH25))*'штрафы-карточка'!$B$4+(4-COUNT(AK25,AL25,AO25,AR25))*'штрафы-карточка'!$B$5+(7-COUNT(X25,AA25,AD25,AG25,AN25,AQ25,AT25))*'штрафы-карточка'!$B$3</f>
        <v>450</v>
      </c>
      <c r="H25" s="26">
        <f>VLOOKUP(D25,'штрафы-карточка'!$E$2:$L$300,2,FALSE)</f>
        <v>780</v>
      </c>
      <c r="I25" s="26">
        <f>VLOOKUP(D25,'штрафы-карточка'!$E$2:$L$300,3,FALSE)</f>
        <v>0</v>
      </c>
      <c r="J25" s="26">
        <f>VLOOKUP(D25,'штрафы-карточка'!$E$2:$L$300,4,FALSE)</f>
        <v>0</v>
      </c>
      <c r="K25" s="26">
        <f>VLOOKUP(D25,'штрафы-карточка'!$E$2:$L$300,5,FALSE)</f>
        <v>0</v>
      </c>
      <c r="L25" s="26">
        <f>VLOOKUP(D25,'штрафы-карточка'!$E$2:$L$300,6,FALSE)</f>
        <v>0</v>
      </c>
      <c r="M25" s="26">
        <f>VLOOKUP(D25,'штрафы-карточка'!$E$2:$L$300,7,FALSE)</f>
        <v>150</v>
      </c>
      <c r="N25" s="26">
        <f>VLOOKUP(D25,'штрафы-карточка'!$E$2:$L$300,8,FALSE)</f>
        <v>120</v>
      </c>
      <c r="O25" s="61">
        <f t="shared" si="1"/>
        <v>1.3637037037037039</v>
      </c>
      <c r="P25" s="49">
        <v>0.010393518518518519</v>
      </c>
      <c r="Q25" s="57">
        <v>0.342662037037037</v>
      </c>
      <c r="R25" s="49">
        <v>0.15886574074074075</v>
      </c>
      <c r="S25" s="49">
        <v>0.22622685185185185</v>
      </c>
      <c r="T25" s="57">
        <v>0.23322916666666668</v>
      </c>
      <c r="U25" s="57">
        <v>0.26805555555555555</v>
      </c>
      <c r="V25" s="49">
        <v>0.28658564814814813</v>
      </c>
      <c r="W25" s="49">
        <v>0.2891666666666666</v>
      </c>
      <c r="X25" s="49">
        <v>0.2916666666666667</v>
      </c>
      <c r="Y25" s="57">
        <v>0.11995370370370372</v>
      </c>
      <c r="Z25" s="57">
        <v>0.11995370370370372</v>
      </c>
      <c r="AA25" s="57"/>
      <c r="AB25" s="49">
        <v>0.13824074074074075</v>
      </c>
      <c r="AC25" s="49">
        <v>0.13824074074074075</v>
      </c>
      <c r="AD25" s="49">
        <v>0.13978009259259258</v>
      </c>
      <c r="AE25" s="57">
        <v>0.0703125</v>
      </c>
      <c r="AF25" s="57">
        <v>0.09215277777777776</v>
      </c>
      <c r="AG25" s="57">
        <v>0.09480324074074074</v>
      </c>
      <c r="AH25" s="49">
        <v>0.0416666666666667</v>
      </c>
      <c r="AI25" s="57"/>
      <c r="AJ25" s="57"/>
      <c r="AK25" s="49"/>
      <c r="AL25" s="57"/>
      <c r="AM25" s="57"/>
      <c r="AN25" s="57"/>
      <c r="AO25" s="49"/>
      <c r="AP25" s="49"/>
      <c r="AQ25" s="49"/>
      <c r="AR25" s="57">
        <v>0.3325694444444444</v>
      </c>
      <c r="AS25" s="57">
        <v>0.3346064814814815</v>
      </c>
      <c r="AT25" s="57">
        <v>0.3386458333333333</v>
      </c>
      <c r="AU25" s="39"/>
      <c r="AV25" s="39"/>
      <c r="AW25" s="39"/>
      <c r="AX25" s="39"/>
    </row>
    <row r="26" spans="1:50" ht="13.5">
      <c r="A26" s="23" t="s">
        <v>24</v>
      </c>
      <c r="B26" s="21" t="s">
        <v>275</v>
      </c>
      <c r="C26" s="22" t="s">
        <v>404</v>
      </c>
      <c r="D26" s="23" t="s">
        <v>142</v>
      </c>
      <c r="E26" s="23" t="s">
        <v>405</v>
      </c>
      <c r="F26" s="24">
        <f t="shared" si="0"/>
        <v>0.01496527777777773</v>
      </c>
      <c r="G26" s="25">
        <f>(5-COUNT(V26,Y26,AB26,AE26,AH26))*'штрафы-карточка'!$B$4+(4-COUNT(AK26,AL26,AO26,AR26))*'штрафы-карточка'!$B$5+(7-COUNT(X26,AA26,AD26,AG26,AN26,AQ26,AT26))*'штрафы-карточка'!$B$3</f>
        <v>330</v>
      </c>
      <c r="H26" s="26">
        <f>VLOOKUP(D26,'штрафы-карточка'!$E$2:$L$300,2,FALSE)</f>
        <v>780</v>
      </c>
      <c r="I26" s="26">
        <f>VLOOKUP(D26,'штрафы-карточка'!$E$2:$L$300,3,FALSE)</f>
        <v>0</v>
      </c>
      <c r="J26" s="26">
        <f>VLOOKUP(D26,'штрафы-карточка'!$E$2:$L$300,4,FALSE)</f>
        <v>0</v>
      </c>
      <c r="K26" s="26">
        <f>VLOOKUP(D26,'штрафы-карточка'!$E$2:$L$300,5,FALSE)</f>
        <v>0</v>
      </c>
      <c r="L26" s="26">
        <f>VLOOKUP(D26,'штрафы-карточка'!$E$2:$L$300,6,FALSE)</f>
        <v>0</v>
      </c>
      <c r="M26" s="26">
        <f>VLOOKUP(D26,'штрафы-карточка'!$E$2:$L$300,7,FALSE)</f>
        <v>150</v>
      </c>
      <c r="N26" s="26">
        <f>VLOOKUP(D26,'штрафы-карточка'!$E$2:$L$300,8,FALSE)</f>
        <v>120</v>
      </c>
      <c r="O26" s="61">
        <f t="shared" si="1"/>
        <v>1.3990277777777778</v>
      </c>
      <c r="P26" s="49">
        <v>0.012824074074074073</v>
      </c>
      <c r="Q26" s="57"/>
      <c r="R26" s="49">
        <v>0.10868055555555556</v>
      </c>
      <c r="S26" s="49">
        <v>0.23439814814814816</v>
      </c>
      <c r="T26" s="57">
        <v>0.23945601851851853</v>
      </c>
      <c r="U26" s="57">
        <v>0.28987268518518516</v>
      </c>
      <c r="V26" s="49">
        <v>0.08883101851851853</v>
      </c>
      <c r="W26" s="49">
        <v>0.08883101851851853</v>
      </c>
      <c r="X26" s="49">
        <v>0.09255787037037037</v>
      </c>
      <c r="Y26" s="57">
        <v>0.034930555555555555</v>
      </c>
      <c r="Z26" s="57">
        <v>0.04918981481481482</v>
      </c>
      <c r="AA26" s="57">
        <v>0.051284722222222225</v>
      </c>
      <c r="AB26" s="49">
        <v>0.316099537037037</v>
      </c>
      <c r="AC26" s="49">
        <v>0.316099537037037</v>
      </c>
      <c r="AD26" s="49">
        <v>0.3200462962962963</v>
      </c>
      <c r="AE26" s="57">
        <v>0.353425925925926</v>
      </c>
      <c r="AF26" s="57">
        <v>0.35413194444444446</v>
      </c>
      <c r="AG26" s="57">
        <v>0.36060185185185184</v>
      </c>
      <c r="AH26" s="49">
        <v>0.0416666666666667</v>
      </c>
      <c r="AI26" s="57"/>
      <c r="AJ26" s="57"/>
      <c r="AK26" s="49"/>
      <c r="AL26" s="57"/>
      <c r="AM26" s="57"/>
      <c r="AN26" s="57"/>
      <c r="AO26" s="49"/>
      <c r="AP26" s="49"/>
      <c r="AQ26" s="49"/>
      <c r="AR26" s="57">
        <v>0.4496643518518519</v>
      </c>
      <c r="AS26" s="57">
        <v>0.4496643518518519</v>
      </c>
      <c r="AT26" s="57">
        <v>0.450625</v>
      </c>
      <c r="AU26" s="39"/>
      <c r="AV26" s="39"/>
      <c r="AW26" s="39"/>
      <c r="AX26" s="39"/>
    </row>
    <row r="27" spans="1:50" ht="13.5">
      <c r="A27" s="23" t="s">
        <v>25</v>
      </c>
      <c r="B27" s="21" t="s">
        <v>275</v>
      </c>
      <c r="C27" s="22" t="s">
        <v>384</v>
      </c>
      <c r="D27" s="23" t="s">
        <v>138</v>
      </c>
      <c r="E27" s="23" t="s">
        <v>385</v>
      </c>
      <c r="F27" s="24">
        <f t="shared" si="0"/>
        <v>0.022708333333333275</v>
      </c>
      <c r="G27" s="25">
        <f>(5-COUNT(V27,Y27,AB27,AE27,AH27))*'штрафы-карточка'!$B$4+(4-COUNT(AK27,AL27,AO27,AR27))*'штрафы-карточка'!$B$5+(7-COUNT(X27,AA27,AD27,AG27,AN27,AQ27,AT27))*'штрафы-карточка'!$B$3</f>
        <v>330</v>
      </c>
      <c r="H27" s="26">
        <f>VLOOKUP(D27,'штрафы-карточка'!$E$2:$L$300,2,FALSE)</f>
        <v>780</v>
      </c>
      <c r="I27" s="26">
        <f>VLOOKUP(D27,'штрафы-карточка'!$E$2:$L$300,3,FALSE)</f>
        <v>0</v>
      </c>
      <c r="J27" s="26">
        <f>VLOOKUP(D27,'штрафы-карточка'!$E$2:$L$300,4,FALSE)</f>
        <v>0</v>
      </c>
      <c r="K27" s="26">
        <f>VLOOKUP(D27,'штрафы-карточка'!$E$2:$L$300,5,FALSE)</f>
        <v>180</v>
      </c>
      <c r="L27" s="26">
        <f>VLOOKUP(D27,'штрафы-карточка'!$E$2:$L$300,6,FALSE)</f>
        <v>0</v>
      </c>
      <c r="M27" s="26">
        <f>VLOOKUP(D27,'штрафы-карточка'!$E$2:$L$300,7,FALSE)</f>
        <v>150</v>
      </c>
      <c r="N27" s="26">
        <f>VLOOKUP(D27,'штрафы-карточка'!$E$2:$L$300,8,FALSE)</f>
        <v>120</v>
      </c>
      <c r="O27" s="61">
        <f t="shared" si="1"/>
        <v>1.4053819444444444</v>
      </c>
      <c r="P27" s="49">
        <v>0.010659722222222221</v>
      </c>
      <c r="Q27" s="57">
        <v>0.3405671296296296</v>
      </c>
      <c r="R27" s="49">
        <v>0.08927083333333334</v>
      </c>
      <c r="S27" s="49">
        <v>0.15212962962962964</v>
      </c>
      <c r="T27" s="57">
        <v>0.1529513888888889</v>
      </c>
      <c r="U27" s="57">
        <v>0.184375</v>
      </c>
      <c r="V27" s="49">
        <v>0.04587962962962963</v>
      </c>
      <c r="W27" s="49">
        <v>0.04587962962962963</v>
      </c>
      <c r="X27" s="64">
        <v>0.20418981481481482</v>
      </c>
      <c r="Y27" s="57">
        <v>0.03561342592592592</v>
      </c>
      <c r="Z27" s="57">
        <v>0.05478009259259259</v>
      </c>
      <c r="AA27" s="57">
        <v>0.0583912037037037</v>
      </c>
      <c r="AB27" s="49">
        <v>0.06403935185185185</v>
      </c>
      <c r="AC27" s="49">
        <v>0.06403935185185185</v>
      </c>
      <c r="AD27" s="49">
        <v>0.06626157407407407</v>
      </c>
      <c r="AE27" s="57">
        <v>0.2501851851851852</v>
      </c>
      <c r="AF27" s="57">
        <v>0.25273148148148145</v>
      </c>
      <c r="AG27" s="57">
        <v>0.25415509259259256</v>
      </c>
      <c r="AH27" s="49">
        <v>0.0416666666666667</v>
      </c>
      <c r="AI27" s="57"/>
      <c r="AJ27" s="57"/>
      <c r="AK27" s="49"/>
      <c r="AL27" s="57"/>
      <c r="AM27" s="57"/>
      <c r="AN27" s="57"/>
      <c r="AO27" s="49"/>
      <c r="AP27" s="49"/>
      <c r="AQ27" s="49"/>
      <c r="AR27" s="57">
        <v>0.32667824074074076</v>
      </c>
      <c r="AS27" s="57">
        <v>0.3276736111111111</v>
      </c>
      <c r="AT27" s="57">
        <v>0.33599537037037036</v>
      </c>
      <c r="AU27" s="42">
        <v>0.20118055555555556</v>
      </c>
      <c r="AV27" s="39"/>
      <c r="AW27" s="39"/>
      <c r="AX27" s="42">
        <v>0.3306134259259259</v>
      </c>
    </row>
    <row r="28" spans="1:50" ht="13.5">
      <c r="A28" s="23" t="s">
        <v>26</v>
      </c>
      <c r="B28" s="21" t="s">
        <v>275</v>
      </c>
      <c r="C28" s="22" t="s">
        <v>332</v>
      </c>
      <c r="D28" s="23" t="s">
        <v>145</v>
      </c>
      <c r="E28" s="23" t="s">
        <v>333</v>
      </c>
      <c r="F28" s="24">
        <f t="shared" si="0"/>
        <v>0.0459837962962964</v>
      </c>
      <c r="G28" s="25">
        <f>(5-COUNT(V28,Y28,AB28,AE28,AH28))*'штрафы-карточка'!$B$4+(4-COUNT(AK28,AL28,AO28,AR28))*'штрафы-карточка'!$B$5+(7-COUNT(X28,AA28,AD28,AG28,AN28,AQ28,AT28))*'штрафы-карточка'!$B$3</f>
        <v>30</v>
      </c>
      <c r="H28" s="26">
        <f>VLOOKUP(D28,'штрафы-карточка'!$E$2:$L$300,2,FALSE)</f>
        <v>780</v>
      </c>
      <c r="I28" s="26">
        <f>VLOOKUP(D28,'штрафы-карточка'!$E$2:$L$300,3,FALSE)</f>
        <v>180</v>
      </c>
      <c r="J28" s="26">
        <f>VLOOKUP(D28,'штрафы-карточка'!$E$2:$L$300,4,FALSE)</f>
        <v>0</v>
      </c>
      <c r="K28" s="26">
        <f>VLOOKUP(D28,'штрафы-карточка'!$E$2:$L$300,5,FALSE)</f>
        <v>180</v>
      </c>
      <c r="L28" s="26">
        <f>VLOOKUP(D28,'штрафы-карточка'!$E$2:$L$300,6,FALSE)</f>
        <v>270</v>
      </c>
      <c r="M28" s="26">
        <f>VLOOKUP(D28,'штрафы-карточка'!$E$2:$L$300,7,FALSE)</f>
        <v>150</v>
      </c>
      <c r="N28" s="26">
        <f>VLOOKUP(D28,'штрафы-карточка'!$E$2:$L$300,8,FALSE)</f>
        <v>0</v>
      </c>
      <c r="O28" s="61">
        <f t="shared" si="1"/>
        <v>1.4923958333333334</v>
      </c>
      <c r="P28" s="49">
        <v>0.013206018518518518</v>
      </c>
      <c r="Q28" s="57">
        <v>0.3828935185185185</v>
      </c>
      <c r="R28" s="49">
        <v>0.21172453703703706</v>
      </c>
      <c r="S28" s="49">
        <v>0.308912037037037</v>
      </c>
      <c r="T28" s="57">
        <v>0.17150462962962965</v>
      </c>
      <c r="U28" s="57">
        <v>0.20104166666666667</v>
      </c>
      <c r="V28" s="49">
        <v>0.3301273148148148</v>
      </c>
      <c r="W28" s="49">
        <v>0.3313888888888889</v>
      </c>
      <c r="X28" s="49">
        <v>0.33369212962962963</v>
      </c>
      <c r="Y28" s="57">
        <v>0.1265162037037037</v>
      </c>
      <c r="Z28" s="57">
        <v>0.12872685185185184</v>
      </c>
      <c r="AA28" s="57">
        <v>0.13216435185185185</v>
      </c>
      <c r="AB28" s="49">
        <v>0.1442476851851852</v>
      </c>
      <c r="AC28" s="49">
        <v>0.1442476851851852</v>
      </c>
      <c r="AD28" s="49">
        <v>0.14574074074074075</v>
      </c>
      <c r="AE28" s="57">
        <v>0.06793981481481481</v>
      </c>
      <c r="AF28" s="57">
        <v>0.10969907407407407</v>
      </c>
      <c r="AG28" s="57">
        <v>0.1108912037037037</v>
      </c>
      <c r="AH28" s="49">
        <v>0.0416666666666667</v>
      </c>
      <c r="AI28" s="57"/>
      <c r="AJ28" s="57"/>
      <c r="AK28" s="49"/>
      <c r="AL28" s="57">
        <v>0.3897106481481481</v>
      </c>
      <c r="AM28" s="57">
        <v>0.3897106481481481</v>
      </c>
      <c r="AN28" s="57">
        <v>0.3925347222222222</v>
      </c>
      <c r="AO28" s="49">
        <v>0.4103009259259259</v>
      </c>
      <c r="AP28" s="49">
        <v>0.41105324074074073</v>
      </c>
      <c r="AQ28" s="49">
        <v>0.4127546296296296</v>
      </c>
      <c r="AR28" s="57">
        <v>0.37221064814814814</v>
      </c>
      <c r="AS28" s="57">
        <v>0.37221064814814814</v>
      </c>
      <c r="AT28" s="57">
        <v>0.3794560185185185</v>
      </c>
      <c r="AU28" s="39"/>
      <c r="AV28" s="39"/>
      <c r="AW28" s="39"/>
      <c r="AX28" s="39"/>
    </row>
    <row r="29" spans="1:50" ht="13.5">
      <c r="A29" s="23" t="s">
        <v>27</v>
      </c>
      <c r="B29" s="21" t="s">
        <v>275</v>
      </c>
      <c r="C29" s="22" t="s">
        <v>388</v>
      </c>
      <c r="D29" s="23" t="s">
        <v>152</v>
      </c>
      <c r="E29" s="23" t="s">
        <v>389</v>
      </c>
      <c r="F29" s="24">
        <f t="shared" si="0"/>
        <v>0.013831018518518534</v>
      </c>
      <c r="G29" s="25">
        <f>(5-COUNT(V29,Y29,AB29,AE29,AH29))*'штрафы-карточка'!$B$4+(4-COUNT(AK29,AL29,AO29,AR29))*'штрафы-карточка'!$B$5+(7-COUNT(X29,AA29,AD29,AG29,AN29,AQ29,AT29))*'штрафы-карточка'!$B$3</f>
        <v>180</v>
      </c>
      <c r="H29" s="26">
        <f>VLOOKUP(D29,'штрафы-карточка'!$E$2:$L$300,2,FALSE)</f>
        <v>780</v>
      </c>
      <c r="I29" s="26">
        <f>VLOOKUP(D29,'штрафы-карточка'!$E$2:$L$300,3,FALSE)</f>
        <v>0</v>
      </c>
      <c r="J29" s="26">
        <f>VLOOKUP(D29,'штрафы-карточка'!$E$2:$L$300,4,FALSE)</f>
        <v>0</v>
      </c>
      <c r="K29" s="26">
        <f>VLOOKUP(D29,'штрафы-карточка'!$E$2:$L$300,5,FALSE)</f>
        <v>360</v>
      </c>
      <c r="L29" s="26">
        <f>VLOOKUP(D29,'штрафы-карточка'!$E$2:$L$300,6,FALSE)</f>
        <v>210</v>
      </c>
      <c r="M29" s="26">
        <f>VLOOKUP(D29,'штрафы-карточка'!$E$2:$L$300,7,FALSE)</f>
        <v>150</v>
      </c>
      <c r="N29" s="26">
        <f>VLOOKUP(D29,'штрафы-карточка'!$E$2:$L$300,8,FALSE)</f>
        <v>30</v>
      </c>
      <c r="O29" s="61">
        <f t="shared" si="1"/>
        <v>1.624722222222222</v>
      </c>
      <c r="P29" s="49">
        <v>0.011597222222222222</v>
      </c>
      <c r="Q29" s="57">
        <v>0.41967592592592595</v>
      </c>
      <c r="R29" s="49">
        <v>0.08483796296296296</v>
      </c>
      <c r="S29" s="49">
        <v>0.17581018518518518</v>
      </c>
      <c r="T29" s="57"/>
      <c r="U29" s="57"/>
      <c r="V29" s="49">
        <v>0.05440972222222223</v>
      </c>
      <c r="W29" s="49">
        <v>0.0634837962962963</v>
      </c>
      <c r="X29" s="49">
        <v>0.0645949074074074</v>
      </c>
      <c r="Y29" s="57">
        <v>0.2922337962962963</v>
      </c>
      <c r="Z29" s="57">
        <v>0.29293981481481485</v>
      </c>
      <c r="AA29" s="57">
        <v>0.29679398148148145</v>
      </c>
      <c r="AB29" s="49">
        <v>0.2814699074074074</v>
      </c>
      <c r="AC29" s="49">
        <v>0.28291666666666665</v>
      </c>
      <c r="AD29" s="49">
        <v>0.2840972222222222</v>
      </c>
      <c r="AE29" s="57">
        <v>0.3269212962962963</v>
      </c>
      <c r="AF29" s="57">
        <v>0.329525462962963</v>
      </c>
      <c r="AG29" s="57">
        <v>0.33042824074074073</v>
      </c>
      <c r="AH29" s="49">
        <v>0.0416666666666667</v>
      </c>
      <c r="AI29" s="57"/>
      <c r="AJ29" s="57"/>
      <c r="AK29" s="49"/>
      <c r="AL29" s="57">
        <v>0.4275462962962963</v>
      </c>
      <c r="AM29" s="57">
        <v>0.4275462962962963</v>
      </c>
      <c r="AN29" s="57">
        <v>0.42878472222222225</v>
      </c>
      <c r="AO29" s="49"/>
      <c r="AP29" s="49"/>
      <c r="AQ29" s="49"/>
      <c r="AR29" s="57">
        <v>0.399375</v>
      </c>
      <c r="AS29" s="57">
        <v>0.399375</v>
      </c>
      <c r="AT29" s="57">
        <v>0.4058912037037037</v>
      </c>
      <c r="AU29" s="39"/>
      <c r="AV29" s="39"/>
      <c r="AW29" s="39"/>
      <c r="AX29" s="39"/>
    </row>
    <row r="30" spans="1:50" ht="13.5">
      <c r="A30" s="23" t="s">
        <v>28</v>
      </c>
      <c r="B30" s="21" t="s">
        <v>275</v>
      </c>
      <c r="C30" s="22" t="s">
        <v>398</v>
      </c>
      <c r="D30" s="23" t="s">
        <v>139</v>
      </c>
      <c r="E30" s="23" t="s">
        <v>399</v>
      </c>
      <c r="F30" s="24">
        <f t="shared" si="0"/>
        <v>0.005474537037037042</v>
      </c>
      <c r="G30" s="25">
        <f>(5-COUNT(V30,Y30,AB30,AE30,AH30))*'штрафы-карточка'!$B$4+(4-COUNT(AK30,AL30,AO30,AR30))*'штрафы-карточка'!$B$5+(7-COUNT(X30,AA30,AD30,AG30,AN30,AQ30,AT30))*'штрафы-карточка'!$B$3</f>
        <v>330</v>
      </c>
      <c r="H30" s="26">
        <f>VLOOKUP(D30,'штрафы-карточка'!$E$2:$L$300,2,FALSE)</f>
        <v>780</v>
      </c>
      <c r="I30" s="26">
        <f>VLOOKUP(D30,'штрафы-карточка'!$E$2:$L$300,3,FALSE)</f>
        <v>0</v>
      </c>
      <c r="J30" s="26">
        <f>VLOOKUP(D30,'штрафы-карточка'!$E$2:$L$300,4,FALSE)</f>
        <v>0</v>
      </c>
      <c r="K30" s="26">
        <f>VLOOKUP(D30,'штрафы-карточка'!$E$2:$L$300,5,FALSE)</f>
        <v>0</v>
      </c>
      <c r="L30" s="26">
        <f>VLOOKUP(D30,'штрафы-карточка'!$E$2:$L$300,6,FALSE)</f>
        <v>390</v>
      </c>
      <c r="M30" s="26">
        <f>VLOOKUP(D30,'штрафы-карточка'!$E$2:$L$300,7,FALSE)</f>
        <v>150</v>
      </c>
      <c r="N30" s="26">
        <f>VLOOKUP(D30,'штрафы-карточка'!$E$2:$L$300,8,FALSE)</f>
        <v>120</v>
      </c>
      <c r="O30" s="61">
        <f t="shared" si="1"/>
        <v>1.6489699074074073</v>
      </c>
      <c r="P30" s="49">
        <v>0.011469907407407408</v>
      </c>
      <c r="Q30" s="57"/>
      <c r="R30" s="49">
        <v>0.3778009259259259</v>
      </c>
      <c r="S30" s="49"/>
      <c r="T30" s="57">
        <v>0.27372685185185186</v>
      </c>
      <c r="U30" s="57">
        <v>0.2825578703703704</v>
      </c>
      <c r="V30" s="49">
        <v>0.2526851851851852</v>
      </c>
      <c r="W30" s="49">
        <v>0.2541203703703704</v>
      </c>
      <c r="X30" s="49">
        <v>0.25552083333333336</v>
      </c>
      <c r="Y30" s="57">
        <v>0.17653935185185185</v>
      </c>
      <c r="Z30" s="57">
        <v>0.17653935185185185</v>
      </c>
      <c r="AA30" s="57">
        <v>0.19185185185185186</v>
      </c>
      <c r="AB30" s="49">
        <v>0.20283564814814814</v>
      </c>
      <c r="AC30" s="49">
        <v>0.20283564814814814</v>
      </c>
      <c r="AD30" s="49">
        <v>0.20471064814814813</v>
      </c>
      <c r="AE30" s="57">
        <v>0.1264699074074074</v>
      </c>
      <c r="AF30" s="57">
        <v>0.13050925925925924</v>
      </c>
      <c r="AG30" s="57">
        <v>0.13221064814814815</v>
      </c>
      <c r="AH30" s="49">
        <v>0.0416666666666667</v>
      </c>
      <c r="AI30" s="57"/>
      <c r="AJ30" s="57"/>
      <c r="AK30" s="49"/>
      <c r="AL30" s="57"/>
      <c r="AM30" s="57"/>
      <c r="AN30" s="57"/>
      <c r="AO30" s="49"/>
      <c r="AP30" s="49"/>
      <c r="AQ30" s="49"/>
      <c r="AR30" s="57">
        <v>0.05057870370370371</v>
      </c>
      <c r="AS30" s="57">
        <v>0.05057870370370371</v>
      </c>
      <c r="AT30" s="57">
        <v>0.05721064814814814</v>
      </c>
      <c r="AU30" s="39"/>
      <c r="AV30" s="39"/>
      <c r="AW30" s="39"/>
      <c r="AX30" s="39"/>
    </row>
    <row r="31" spans="1:50" ht="13.5">
      <c r="A31" s="23" t="s">
        <v>29</v>
      </c>
      <c r="B31" s="21" t="s">
        <v>275</v>
      </c>
      <c r="C31" s="22" t="s">
        <v>366</v>
      </c>
      <c r="D31" s="23" t="s">
        <v>162</v>
      </c>
      <c r="E31" s="23" t="s">
        <v>367</v>
      </c>
      <c r="F31" s="24">
        <f t="shared" si="0"/>
        <v>0.0020486111111110983</v>
      </c>
      <c r="G31" s="25">
        <f>(5-COUNT(V31,Y31,AB31,AE31,AH31))*'штрафы-карточка'!$B$4+(4-COUNT(AK31,AL31,AO31,AR31))*'штрафы-карточка'!$B$5+(7-COUNT(X31,AA31,AD31,AG31,AN31,AQ31,AT31))*'штрафы-карточка'!$B$3</f>
        <v>0</v>
      </c>
      <c r="H31" s="26">
        <f>VLOOKUP(D31,'штрафы-карточка'!$E$2:$L$300,2,FALSE)</f>
        <v>600</v>
      </c>
      <c r="I31" s="26">
        <f>VLOOKUP(D31,'штрафы-карточка'!$E$2:$L$300,3,FALSE)</f>
        <v>600</v>
      </c>
      <c r="J31" s="26">
        <f>VLOOKUP(D31,'штрафы-карточка'!$E$2:$L$300,4,FALSE)</f>
        <v>0</v>
      </c>
      <c r="K31" s="26">
        <f>VLOOKUP(D31,'штрафы-карточка'!$E$2:$L$300,5,FALSE)</f>
        <v>180</v>
      </c>
      <c r="L31" s="26">
        <f>VLOOKUP(D31,'штрафы-карточка'!$E$2:$L$300,6,FALSE)</f>
        <v>360</v>
      </c>
      <c r="M31" s="26">
        <f>VLOOKUP(D31,'штрафы-карточка'!$E$2:$L$300,7,FALSE)</f>
        <v>0</v>
      </c>
      <c r="N31" s="26">
        <f>VLOOKUP(D31,'штрафы-карточка'!$E$2:$L$300,8,FALSE)</f>
        <v>0</v>
      </c>
      <c r="O31" s="61">
        <f t="shared" si="1"/>
        <v>1.6520833333333333</v>
      </c>
      <c r="P31" s="49">
        <v>0.020752314814814814</v>
      </c>
      <c r="Q31" s="57">
        <v>0.3336226851851852</v>
      </c>
      <c r="R31" s="49">
        <v>0.2025</v>
      </c>
      <c r="S31" s="49">
        <v>0.2652199074074074</v>
      </c>
      <c r="T31" s="57">
        <v>0.15002314814814813</v>
      </c>
      <c r="U31" s="57">
        <v>0.20234953703703704</v>
      </c>
      <c r="V31" s="49">
        <v>0.1250462962962963</v>
      </c>
      <c r="W31" s="49">
        <v>0.1250462962962963</v>
      </c>
      <c r="X31" s="49">
        <v>0.1305324074074074</v>
      </c>
      <c r="Y31" s="57">
        <v>0.07425925925925926</v>
      </c>
      <c r="Z31" s="57">
        <v>0.07630787037037036</v>
      </c>
      <c r="AA31" s="57">
        <v>0.08115740740740741</v>
      </c>
      <c r="AB31" s="49">
        <v>0.28748842592592594</v>
      </c>
      <c r="AC31" s="49">
        <v>0.28748842592592594</v>
      </c>
      <c r="AD31" s="49">
        <v>0.28900462962962964</v>
      </c>
      <c r="AE31" s="57">
        <v>0.04883101851851852</v>
      </c>
      <c r="AF31" s="57">
        <v>0.04883101851851852</v>
      </c>
      <c r="AG31" s="57">
        <v>0.050763888888888886</v>
      </c>
      <c r="AH31" s="49">
        <v>0.0416666666666667</v>
      </c>
      <c r="AI31" s="57">
        <v>0.4012731481481482</v>
      </c>
      <c r="AJ31" s="57">
        <v>0.4155787037037037</v>
      </c>
      <c r="AK31" s="49">
        <v>0.4223263888888889</v>
      </c>
      <c r="AL31" s="57">
        <v>0.34596064814814814</v>
      </c>
      <c r="AM31" s="57">
        <v>0.34596064814814814</v>
      </c>
      <c r="AN31" s="57">
        <v>0.35018518518518515</v>
      </c>
      <c r="AO31" s="49">
        <v>0.37</v>
      </c>
      <c r="AP31" s="49">
        <v>0.37</v>
      </c>
      <c r="AQ31" s="49">
        <v>0.37174768518518514</v>
      </c>
      <c r="AR31" s="57">
        <v>0.3208680555555556</v>
      </c>
      <c r="AS31" s="57">
        <v>0.3208680555555556</v>
      </c>
      <c r="AT31" s="57">
        <v>0.3277777777777778</v>
      </c>
      <c r="AU31" s="39"/>
      <c r="AV31" s="39"/>
      <c r="AW31" s="39"/>
      <c r="AX31" s="39"/>
    </row>
    <row r="32" spans="1:50" ht="13.5">
      <c r="A32" s="23" t="s">
        <v>30</v>
      </c>
      <c r="B32" s="21" t="s">
        <v>275</v>
      </c>
      <c r="C32" s="22" t="s">
        <v>416</v>
      </c>
      <c r="D32" s="23" t="s">
        <v>146</v>
      </c>
      <c r="E32" s="23" t="s">
        <v>417</v>
      </c>
      <c r="F32" s="24">
        <f t="shared" si="0"/>
        <v>0</v>
      </c>
      <c r="G32" s="25">
        <f>(5-COUNT(V32,Y32,AB32,AE32,AH32))*'штрафы-карточка'!$B$4+(4-COUNT(AK32,AL32,AO32,AR32))*'штрафы-карточка'!$B$5+(7-COUNT(X32,AA32,AD32,AG32,AN32,AQ32,AT32))*'штрафы-карточка'!$B$3</f>
        <v>1140</v>
      </c>
      <c r="H32" s="26">
        <f>VLOOKUP(D32,'штрафы-карточка'!$E$2:$L$300,2,FALSE)</f>
        <v>780</v>
      </c>
      <c r="I32" s="26">
        <f>VLOOKUP(D32,'штрафы-карточка'!$E$2:$L$300,3,FALSE)</f>
        <v>780</v>
      </c>
      <c r="J32" s="26">
        <f>VLOOKUP(D32,'штрафы-карточка'!$E$2:$L$300,4,FALSE)</f>
        <v>0</v>
      </c>
      <c r="K32" s="26">
        <f>VLOOKUP(D32,'штрафы-карточка'!$E$2:$L$300,5,FALSE)</f>
        <v>360</v>
      </c>
      <c r="L32" s="26">
        <f>VLOOKUP(D32,'штрафы-карточка'!$E$2:$L$300,6,FALSE)</f>
        <v>330</v>
      </c>
      <c r="M32" s="26">
        <f>VLOOKUP(D32,'штрафы-карточка'!$E$2:$L$300,7,FALSE)</f>
        <v>150</v>
      </c>
      <c r="N32" s="26">
        <f>VLOOKUP(D32,'штрафы-карточка'!$E$2:$L$300,8,FALSE)</f>
        <v>120</v>
      </c>
      <c r="O32" s="61">
        <f t="shared" si="1"/>
        <v>2.74818287037037</v>
      </c>
      <c r="P32" s="49">
        <v>0.02826388888888889</v>
      </c>
      <c r="Q32" s="57"/>
      <c r="R32" s="49">
        <v>0.10023148148148148</v>
      </c>
      <c r="S32" s="49">
        <v>0.14180555555555555</v>
      </c>
      <c r="T32" s="57">
        <v>0.14228009259259258</v>
      </c>
      <c r="U32" s="57"/>
      <c r="V32" s="68">
        <v>0.3298611111111111</v>
      </c>
      <c r="W32" s="68">
        <v>0.3298611111111111</v>
      </c>
      <c r="X32" s="49"/>
      <c r="Y32" s="57"/>
      <c r="Z32" s="57"/>
      <c r="AA32" s="57"/>
      <c r="AB32" s="49"/>
      <c r="AC32" s="49"/>
      <c r="AD32" s="49"/>
      <c r="AE32" s="57"/>
      <c r="AF32" s="57"/>
      <c r="AG32" s="57"/>
      <c r="AH32" s="49">
        <v>0.0416666666666667</v>
      </c>
      <c r="AI32" s="57"/>
      <c r="AJ32" s="57"/>
      <c r="AK32" s="49"/>
      <c r="AL32" s="57"/>
      <c r="AM32" s="57"/>
      <c r="AN32" s="57"/>
      <c r="AO32" s="49"/>
      <c r="AP32" s="49"/>
      <c r="AQ32" s="49"/>
      <c r="AR32" s="57"/>
      <c r="AS32" s="57"/>
      <c r="AT32" s="57"/>
      <c r="AU32" s="39"/>
      <c r="AV32" s="39"/>
      <c r="AW32" s="39"/>
      <c r="AX32" s="39"/>
    </row>
    <row r="33" spans="1:50" ht="13.5">
      <c r="A33" s="70" t="s">
        <v>1</v>
      </c>
      <c r="B33" s="21" t="s">
        <v>270</v>
      </c>
      <c r="C33" s="22" t="s">
        <v>271</v>
      </c>
      <c r="D33" s="23" t="s">
        <v>166</v>
      </c>
      <c r="E33" s="23" t="s">
        <v>272</v>
      </c>
      <c r="F33" s="24">
        <f t="shared" si="0"/>
        <v>0.016249999999999987</v>
      </c>
      <c r="G33" s="25">
        <f>(5-COUNT(V33,Y33,AB33,AE33,AH33))*'штрафы-карточка'!$B$4+(4-COUNT(AK33,AL33,AO33,AR33))*'штрафы-карточка'!$B$5+(7-COUNT(X33,AA33,AD33,AG33,AN33,AQ33,AT33))*'штрафы-карточка'!$B$3</f>
        <v>0</v>
      </c>
      <c r="H33" s="26">
        <f>VLOOKUP(D33,'штрафы-карточка'!$E$2:$L$300,2,FALSE)</f>
        <v>0</v>
      </c>
      <c r="I33" s="26">
        <f>VLOOKUP(D33,'штрафы-карточка'!$E$2:$L$300,3,FALSE)</f>
        <v>0</v>
      </c>
      <c r="J33" s="26">
        <f>VLOOKUP(D33,'штрафы-карточка'!$E$2:$L$300,4,FALSE)</f>
        <v>0</v>
      </c>
      <c r="K33" s="26">
        <f>VLOOKUP(D33,'штрафы-карточка'!$E$2:$L$300,5,FALSE)</f>
        <v>0</v>
      </c>
      <c r="L33" s="26">
        <f>VLOOKUP(D33,'штрафы-карточка'!$E$2:$L$300,6,FALSE)</f>
        <v>0</v>
      </c>
      <c r="M33" s="26">
        <f>VLOOKUP(D33,'штрафы-карточка'!$E$2:$L$300,7,FALSE)</f>
        <v>0</v>
      </c>
      <c r="N33" s="26">
        <f>VLOOKUP(D33,'штрафы-карточка'!$E$2:$L$300,8,FALSE)</f>
        <v>0</v>
      </c>
      <c r="O33" s="61">
        <f t="shared" si="1"/>
        <v>0.30900462962962966</v>
      </c>
      <c r="P33" s="49">
        <v>0.007858796296296296</v>
      </c>
      <c r="Q33" s="57">
        <v>0.22998842592592594</v>
      </c>
      <c r="R33" s="49">
        <v>0.0946412037037037</v>
      </c>
      <c r="S33" s="49">
        <v>0.14859953703703704</v>
      </c>
      <c r="T33" s="57">
        <v>0.06842592592592593</v>
      </c>
      <c r="U33" s="57">
        <v>0.09289351851851851</v>
      </c>
      <c r="V33" s="49">
        <v>0.052488425925925924</v>
      </c>
      <c r="W33" s="49">
        <v>0.05797453703703703</v>
      </c>
      <c r="X33" s="49">
        <v>0.059456018518518526</v>
      </c>
      <c r="Y33" s="57">
        <v>0.02461805555555556</v>
      </c>
      <c r="Z33" s="57">
        <v>0.0309375</v>
      </c>
      <c r="AA33" s="57">
        <v>0.03513888888888889</v>
      </c>
      <c r="AB33" s="49">
        <v>0.165625</v>
      </c>
      <c r="AC33" s="49">
        <v>0.165625</v>
      </c>
      <c r="AD33" s="49">
        <v>0.16815972222222222</v>
      </c>
      <c r="AE33" s="57">
        <v>0.18297453703703703</v>
      </c>
      <c r="AF33" s="57">
        <v>0.18582175925925926</v>
      </c>
      <c r="AG33" s="57">
        <v>0.18704861111111112</v>
      </c>
      <c r="AH33" s="49">
        <v>0.0416666666666667</v>
      </c>
      <c r="AI33" s="57">
        <v>0.290150462962963</v>
      </c>
      <c r="AJ33" s="57">
        <v>0.3021875</v>
      </c>
      <c r="AK33" s="49">
        <v>0.30765046296296295</v>
      </c>
      <c r="AL33" s="57">
        <v>0.23918981481481483</v>
      </c>
      <c r="AM33" s="57">
        <v>0.24078703703703705</v>
      </c>
      <c r="AN33" s="57">
        <v>0.24315972222222224</v>
      </c>
      <c r="AO33" s="49">
        <v>0.2534027777777778</v>
      </c>
      <c r="AP33" s="49">
        <v>0.2534027777777778</v>
      </c>
      <c r="AQ33" s="49">
        <v>0.25513888888888886</v>
      </c>
      <c r="AR33" s="57">
        <v>0.2245138888888889</v>
      </c>
      <c r="AS33" s="57">
        <v>0.2245138888888889</v>
      </c>
      <c r="AT33" s="57">
        <v>0.22783564814814816</v>
      </c>
      <c r="AU33" s="39"/>
      <c r="AV33" s="39"/>
      <c r="AW33" s="39"/>
      <c r="AX33" s="39"/>
    </row>
    <row r="34" spans="1:50" ht="13.5">
      <c r="A34" s="70" t="s">
        <v>2</v>
      </c>
      <c r="B34" s="21" t="s">
        <v>270</v>
      </c>
      <c r="C34" s="22" t="s">
        <v>300</v>
      </c>
      <c r="D34" s="23" t="s">
        <v>171</v>
      </c>
      <c r="E34" s="23" t="s">
        <v>301</v>
      </c>
      <c r="F34" s="24">
        <f t="shared" si="0"/>
        <v>0.046157407407407425</v>
      </c>
      <c r="G34" s="25">
        <f>(5-COUNT(V34,Y34,AB34,AE34,AH34))*'штрафы-карточка'!$B$4+(4-COUNT(AK34,AL34,AO34,AR34))*'штрафы-карточка'!$B$5+(7-COUNT(X34,AA34,AD34,AG34,AN34,AQ34,AT34))*'штрафы-карточка'!$B$3</f>
        <v>0</v>
      </c>
      <c r="H34" s="26">
        <f>VLOOKUP(D34,'штрафы-карточка'!$E$2:$L$300,2,FALSE)</f>
        <v>0</v>
      </c>
      <c r="I34" s="26">
        <f>VLOOKUP(D34,'штрафы-карточка'!$E$2:$L$300,3,FALSE)</f>
        <v>0</v>
      </c>
      <c r="J34" s="26">
        <f>VLOOKUP(D34,'штрафы-карточка'!$E$2:$L$300,4,FALSE)</f>
        <v>0</v>
      </c>
      <c r="K34" s="26">
        <f>VLOOKUP(D34,'штрафы-карточка'!$E$2:$L$300,5,FALSE)</f>
        <v>0</v>
      </c>
      <c r="L34" s="26">
        <f>VLOOKUP(D34,'штрафы-карточка'!$E$2:$L$300,6,FALSE)</f>
        <v>0</v>
      </c>
      <c r="M34" s="26">
        <f>VLOOKUP(D34,'штрафы-карточка'!$E$2:$L$300,7,FALSE)</f>
        <v>0</v>
      </c>
      <c r="N34" s="26">
        <f>VLOOKUP(D34,'штрафы-карточка'!$E$2:$L$300,8,FALSE)</f>
        <v>0</v>
      </c>
      <c r="O34" s="61">
        <f t="shared" si="1"/>
        <v>0.381412037037037</v>
      </c>
      <c r="P34" s="49">
        <v>0.008657407407407407</v>
      </c>
      <c r="Q34" s="57">
        <v>0.32318287037037036</v>
      </c>
      <c r="R34" s="49">
        <v>0.14886574074074074</v>
      </c>
      <c r="S34" s="49">
        <v>0.21300925925925926</v>
      </c>
      <c r="T34" s="57">
        <v>0.21747685185185184</v>
      </c>
      <c r="U34" s="57">
        <v>0.24542824074074074</v>
      </c>
      <c r="V34" s="49">
        <v>0.264525462962963</v>
      </c>
      <c r="W34" s="49">
        <v>0.264525462962963</v>
      </c>
      <c r="X34" s="49">
        <v>0.2669560185185185</v>
      </c>
      <c r="Y34" s="57">
        <v>0.28815972222222225</v>
      </c>
      <c r="Z34" s="57">
        <v>0.2888541666666667</v>
      </c>
      <c r="AA34" s="57">
        <v>0.29364583333333333</v>
      </c>
      <c r="AB34" s="49">
        <v>0.13077546296296297</v>
      </c>
      <c r="AC34" s="49">
        <v>0.1325925925925926</v>
      </c>
      <c r="AD34" s="49">
        <v>0.1346875</v>
      </c>
      <c r="AE34" s="57">
        <v>0.0740625</v>
      </c>
      <c r="AF34" s="57">
        <v>0.11618055555555555</v>
      </c>
      <c r="AG34" s="57">
        <v>0.11710648148148149</v>
      </c>
      <c r="AH34" s="49">
        <v>0.0416666666666667</v>
      </c>
      <c r="AI34" s="57">
        <v>0.38190972222222225</v>
      </c>
      <c r="AJ34" s="57">
        <v>0.39003472222222224</v>
      </c>
      <c r="AK34" s="49">
        <v>0.3767939814814815</v>
      </c>
      <c r="AL34" s="57">
        <v>0.3305902777777778</v>
      </c>
      <c r="AM34" s="57">
        <v>0.33211805555555557</v>
      </c>
      <c r="AN34" s="57">
        <v>0.3349421296296296</v>
      </c>
      <c r="AO34" s="49">
        <v>0.3479861111111111</v>
      </c>
      <c r="AP34" s="49">
        <v>0.3479861111111111</v>
      </c>
      <c r="AQ34" s="49">
        <v>0.3499305555555556</v>
      </c>
      <c r="AR34" s="57">
        <v>0.31091435185185184</v>
      </c>
      <c r="AS34" s="57">
        <v>0.31091435185185184</v>
      </c>
      <c r="AT34" s="57">
        <v>0.3182986111111111</v>
      </c>
      <c r="AU34" s="39"/>
      <c r="AV34" s="39"/>
      <c r="AW34" s="39"/>
      <c r="AX34" s="39"/>
    </row>
    <row r="35" spans="1:50" ht="13.5">
      <c r="A35" s="70" t="s">
        <v>3</v>
      </c>
      <c r="B35" s="21" t="s">
        <v>270</v>
      </c>
      <c r="C35" s="22" t="s">
        <v>346</v>
      </c>
      <c r="D35" s="23" t="s">
        <v>173</v>
      </c>
      <c r="E35" s="23" t="s">
        <v>347</v>
      </c>
      <c r="F35" s="24">
        <f t="shared" si="0"/>
        <v>0.014259259259259416</v>
      </c>
      <c r="G35" s="25">
        <f>(5-COUNT(V35,Y35,AB35,AE35,AH35))*'штрафы-карточка'!$B$4+(4-COUNT(AK35,AL35,AO35,AR35))*'штрафы-карточка'!$B$5+(7-COUNT(X35,AA35,AD35,AG35,AN35,AQ35,AT35))*'штрафы-карточка'!$B$3</f>
        <v>0</v>
      </c>
      <c r="H35" s="26">
        <f>VLOOKUP(D35,'штрафы-карточка'!$E$2:$L$300,2,FALSE)</f>
        <v>0</v>
      </c>
      <c r="I35" s="26">
        <f>VLOOKUP(D35,'штрафы-карточка'!$E$2:$L$300,3,FALSE)</f>
        <v>0</v>
      </c>
      <c r="J35" s="26">
        <f>VLOOKUP(D35,'штрафы-карточка'!$E$2:$L$300,4,FALSE)</f>
        <v>0</v>
      </c>
      <c r="K35" s="26">
        <f>VLOOKUP(D35,'штрафы-карточка'!$E$2:$L$300,5,FALSE)</f>
        <v>0</v>
      </c>
      <c r="L35" s="26">
        <f>VLOOKUP(D35,'штрафы-карточка'!$E$2:$L$300,6,FALSE)</f>
        <v>0</v>
      </c>
      <c r="M35" s="26">
        <f>VLOOKUP(D35,'штрафы-карточка'!$E$2:$L$300,7,FALSE)</f>
        <v>0</v>
      </c>
      <c r="N35" s="26">
        <f>VLOOKUP(D35,'штрафы-карточка'!$E$2:$L$300,8,FALSE)</f>
        <v>0</v>
      </c>
      <c r="O35" s="61">
        <f t="shared" si="1"/>
        <v>0.4166435185185184</v>
      </c>
      <c r="P35" s="49">
        <v>0.007743055555555556</v>
      </c>
      <c r="Q35" s="57">
        <v>0.31876157407407407</v>
      </c>
      <c r="R35" s="49">
        <v>0.10858796296296297</v>
      </c>
      <c r="S35" s="49">
        <v>0.16936342592592593</v>
      </c>
      <c r="T35" s="57">
        <v>0.11335648148148147</v>
      </c>
      <c r="U35" s="57">
        <v>0.16537037037037036</v>
      </c>
      <c r="V35" s="49">
        <v>0.25273148148148145</v>
      </c>
      <c r="W35" s="49">
        <v>0.2555439814814815</v>
      </c>
      <c r="X35" s="49">
        <v>0.25751157407407405</v>
      </c>
      <c r="Y35" s="57">
        <v>0.28430555555555553</v>
      </c>
      <c r="Z35" s="57">
        <v>0.28556712962962966</v>
      </c>
      <c r="AA35" s="57">
        <v>0.28868055555555555</v>
      </c>
      <c r="AB35" s="49">
        <v>0.08818287037037037</v>
      </c>
      <c r="AC35" s="49">
        <v>0.08878472222222222</v>
      </c>
      <c r="AD35" s="49">
        <v>0.09157407407407407</v>
      </c>
      <c r="AE35" s="57">
        <v>0.05575231481481482</v>
      </c>
      <c r="AF35" s="57">
        <v>0.06414351851851852</v>
      </c>
      <c r="AG35" s="57">
        <v>0.06672453703703704</v>
      </c>
      <c r="AH35" s="49">
        <v>0.0416666666666667</v>
      </c>
      <c r="AI35" s="57">
        <v>0.39168981481481485</v>
      </c>
      <c r="AJ35" s="57">
        <v>0.40151620370370367</v>
      </c>
      <c r="AK35" s="49">
        <v>0.40625</v>
      </c>
      <c r="AL35" s="57">
        <v>0.3303240740740741</v>
      </c>
      <c r="AM35" s="57">
        <v>0.3303240740740741</v>
      </c>
      <c r="AN35" s="57">
        <v>0.3326967592592593</v>
      </c>
      <c r="AO35" s="49">
        <v>0.35429398148148145</v>
      </c>
      <c r="AP35" s="49">
        <v>0.3554861111111111</v>
      </c>
      <c r="AQ35" s="49">
        <v>0.3567592592592593</v>
      </c>
      <c r="AR35" s="57">
        <v>0.305625</v>
      </c>
      <c r="AS35" s="57">
        <v>0.305625</v>
      </c>
      <c r="AT35" s="57">
        <v>0.3134953703703704</v>
      </c>
      <c r="AU35" s="39"/>
      <c r="AV35" s="39"/>
      <c r="AW35" s="39"/>
      <c r="AX35" s="39"/>
    </row>
    <row r="36" spans="1:50" ht="13.5">
      <c r="A36" s="23" t="s">
        <v>4</v>
      </c>
      <c r="B36" s="21" t="s">
        <v>270</v>
      </c>
      <c r="C36" s="22" t="s">
        <v>308</v>
      </c>
      <c r="D36" s="23" t="s">
        <v>180</v>
      </c>
      <c r="E36" s="23" t="s">
        <v>309</v>
      </c>
      <c r="F36" s="24">
        <f aca="true" t="shared" si="2" ref="F36:F67">W36-V36+Z36-Y36+AC36-AB36+AF36-AE36+AM36-AL36+AP36-AO36+AS36-AR36</f>
        <v>0.04841435185185183</v>
      </c>
      <c r="G36" s="25">
        <f>(5-COUNT(V36,Y36,AB36,AE36,AH36))*'штрафы-карточка'!$B$4+(4-COUNT(AK36,AL36,AO36,AR36))*'штрафы-карточка'!$B$5+(7-COUNT(X36,AA36,AD36,AG36,AN36,AQ36,AT36))*'штрафы-карточка'!$B$3</f>
        <v>0</v>
      </c>
      <c r="H36" s="26">
        <f>VLOOKUP(D36,'штрафы-карточка'!$E$2:$L$300,2,FALSE)</f>
        <v>0</v>
      </c>
      <c r="I36" s="26">
        <f>VLOOKUP(D36,'штрафы-карточка'!$E$2:$L$300,3,FALSE)</f>
        <v>0</v>
      </c>
      <c r="J36" s="26">
        <f>VLOOKUP(D36,'штрафы-карточка'!$E$2:$L$300,4,FALSE)</f>
        <v>0</v>
      </c>
      <c r="K36" s="26">
        <f>VLOOKUP(D36,'штрафы-карточка'!$E$2:$L$300,5,FALSE)</f>
        <v>0</v>
      </c>
      <c r="L36" s="26">
        <f>VLOOKUP(D36,'штрафы-карточка'!$E$2:$L$300,6,FALSE)</f>
        <v>90</v>
      </c>
      <c r="M36" s="26">
        <f>VLOOKUP(D36,'штрафы-карточка'!$E$2:$L$300,7,FALSE)</f>
        <v>0</v>
      </c>
      <c r="N36" s="26">
        <f>VLOOKUP(D36,'штрафы-карточка'!$E$2:$L$300,8,FALSE)</f>
        <v>0</v>
      </c>
      <c r="O36" s="61">
        <f aca="true" t="shared" si="3" ref="O36:O67">E36-F36+TIME(0,G36,0)+TIME(0,H36,0)+TIME(0,I36,0)+TIME(0,J36,0)+TIME(0,K36,0)+TIME(0,L36,0)+TIME(0,M36,0)+TIME(0,N36,0)</f>
        <v>0.45320601851851855</v>
      </c>
      <c r="P36" s="49">
        <v>0.009953703703703704</v>
      </c>
      <c r="Q36" s="57">
        <v>0.3338310185185185</v>
      </c>
      <c r="R36" s="49">
        <v>0.20363425925925926</v>
      </c>
      <c r="S36" s="49">
        <v>0.26991898148148147</v>
      </c>
      <c r="T36" s="57">
        <v>0.1661689814814815</v>
      </c>
      <c r="U36" s="57">
        <v>0.19961805555555556</v>
      </c>
      <c r="V36" s="49">
        <v>0.28375</v>
      </c>
      <c r="W36" s="49">
        <v>0.28375</v>
      </c>
      <c r="X36" s="49">
        <v>0.28611111111111115</v>
      </c>
      <c r="Y36" s="57">
        <v>0.13684027777777777</v>
      </c>
      <c r="Z36" s="57">
        <v>0.13684027777777777</v>
      </c>
      <c r="AA36" s="57">
        <v>0.1405787037037037</v>
      </c>
      <c r="AB36" s="49">
        <v>0.14672453703703703</v>
      </c>
      <c r="AC36" s="49">
        <v>0.14672453703703703</v>
      </c>
      <c r="AD36" s="49">
        <v>0.1492361111111111</v>
      </c>
      <c r="AE36" s="57">
        <v>0.07725694444444443</v>
      </c>
      <c r="AF36" s="57">
        <v>0.11971064814814815</v>
      </c>
      <c r="AG36" s="57">
        <v>0.12068287037037036</v>
      </c>
      <c r="AH36" s="49">
        <v>0.0416666666666667</v>
      </c>
      <c r="AI36" s="57">
        <v>0.3919791666666667</v>
      </c>
      <c r="AJ36" s="57">
        <v>0.4015393518518518</v>
      </c>
      <c r="AK36" s="49">
        <v>0.4057986111111111</v>
      </c>
      <c r="AL36" s="57">
        <v>0.34847222222222224</v>
      </c>
      <c r="AM36" s="57">
        <v>0.34847222222222224</v>
      </c>
      <c r="AN36" s="57">
        <v>0.3502893518518519</v>
      </c>
      <c r="AO36" s="49">
        <v>0.36196759259259265</v>
      </c>
      <c r="AP36" s="49">
        <v>0.3627777777777778</v>
      </c>
      <c r="AQ36" s="49">
        <v>0.36417824074074073</v>
      </c>
      <c r="AR36" s="57">
        <v>0.32180555555555557</v>
      </c>
      <c r="AS36" s="57">
        <v>0.3269560185185185</v>
      </c>
      <c r="AT36" s="57">
        <v>0.329525462962963</v>
      </c>
      <c r="AU36" s="39"/>
      <c r="AV36" s="39"/>
      <c r="AW36" s="39"/>
      <c r="AX36" s="39"/>
    </row>
    <row r="37" spans="1:50" ht="13.5">
      <c r="A37" s="23" t="s">
        <v>5</v>
      </c>
      <c r="B37" s="21" t="s">
        <v>270</v>
      </c>
      <c r="C37" s="22" t="s">
        <v>336</v>
      </c>
      <c r="D37" s="23" t="s">
        <v>177</v>
      </c>
      <c r="E37" s="23" t="s">
        <v>337</v>
      </c>
      <c r="F37" s="24">
        <f t="shared" si="2"/>
        <v>0.00809027777777771</v>
      </c>
      <c r="G37" s="25">
        <f>(5-COUNT(V37,Y37,AB37,AE37,AH37))*'штрафы-карточка'!$B$4+(4-COUNT(AK37,AL37,AO37,AR37))*'штрафы-карточка'!$B$5+(7-COUNT(X37,AA37,AD37,AG37,AN37,AQ37,AT37))*'штрафы-карточка'!$B$3</f>
        <v>0</v>
      </c>
      <c r="H37" s="26">
        <f>VLOOKUP(D37,'штрафы-карточка'!$E$2:$L$300,2,FALSE)</f>
        <v>30</v>
      </c>
      <c r="I37" s="26">
        <f>VLOOKUP(D37,'штрафы-карточка'!$E$2:$L$300,3,FALSE)</f>
        <v>0</v>
      </c>
      <c r="J37" s="26">
        <f>VLOOKUP(D37,'штрафы-карточка'!$E$2:$L$300,4,FALSE)</f>
        <v>0</v>
      </c>
      <c r="K37" s="26">
        <f>VLOOKUP(D37,'штрафы-карточка'!$E$2:$L$300,5,FALSE)</f>
        <v>60</v>
      </c>
      <c r="L37" s="26">
        <f>VLOOKUP(D37,'штрафы-карточка'!$E$2:$L$300,6,FALSE)</f>
        <v>120</v>
      </c>
      <c r="M37" s="26">
        <f>VLOOKUP(D37,'штрафы-карточка'!$E$2:$L$300,7,FALSE)</f>
        <v>0</v>
      </c>
      <c r="N37" s="26">
        <f>VLOOKUP(D37,'штрафы-карточка'!$E$2:$L$300,8,FALSE)</f>
        <v>0</v>
      </c>
      <c r="O37" s="61">
        <f t="shared" si="3"/>
        <v>0.5580902777777779</v>
      </c>
      <c r="P37" s="49">
        <v>0.007881944444444443</v>
      </c>
      <c r="Q37" s="57">
        <v>0.31916666666666665</v>
      </c>
      <c r="R37" s="49">
        <v>0.08645833333333335</v>
      </c>
      <c r="S37" s="49">
        <v>0.13436342592592593</v>
      </c>
      <c r="T37" s="57">
        <v>0.13458333333333333</v>
      </c>
      <c r="U37" s="57">
        <v>0.18681712962962962</v>
      </c>
      <c r="V37" s="49">
        <v>0.06641203703703703</v>
      </c>
      <c r="W37" s="49">
        <v>0.06822916666666666</v>
      </c>
      <c r="X37" s="49">
        <v>0.0708912037037037</v>
      </c>
      <c r="Y37" s="57">
        <v>0.022847222222222224</v>
      </c>
      <c r="Z37" s="57">
        <v>0.029120370370370366</v>
      </c>
      <c r="AA37" s="57">
        <v>0.035</v>
      </c>
      <c r="AB37" s="49">
        <v>0.20802083333333332</v>
      </c>
      <c r="AC37" s="49">
        <v>0.20802083333333332</v>
      </c>
      <c r="AD37" s="49">
        <v>0.20981481481481482</v>
      </c>
      <c r="AE37" s="57">
        <v>0.24199074074074076</v>
      </c>
      <c r="AF37" s="57">
        <v>0.24199074074074076</v>
      </c>
      <c r="AG37" s="57">
        <v>0.2444560185185185</v>
      </c>
      <c r="AH37" s="49">
        <v>0.0416666666666667</v>
      </c>
      <c r="AI37" s="57">
        <v>0.37625</v>
      </c>
      <c r="AJ37" s="57">
        <v>0.38182870370370375</v>
      </c>
      <c r="AK37" s="49">
        <v>0.35559027777777774</v>
      </c>
      <c r="AL37" s="57">
        <v>0.41290509259259256</v>
      </c>
      <c r="AM37" s="57">
        <v>0.41290509259259256</v>
      </c>
      <c r="AN37" s="57">
        <v>0.41550925925925924</v>
      </c>
      <c r="AO37" s="49">
        <v>0.4094675925925926</v>
      </c>
      <c r="AP37" s="49">
        <v>0.4094675925925926</v>
      </c>
      <c r="AQ37" s="49">
        <v>0.41072916666666665</v>
      </c>
      <c r="AR37" s="57">
        <v>0.3115509259259259</v>
      </c>
      <c r="AS37" s="57">
        <v>0.3115509259259259</v>
      </c>
      <c r="AT37" s="57">
        <v>0.3156481481481482</v>
      </c>
      <c r="AU37" s="39"/>
      <c r="AV37" s="39"/>
      <c r="AW37" s="39"/>
      <c r="AX37" s="39"/>
    </row>
    <row r="38" spans="1:50" ht="13.5">
      <c r="A38" s="23" t="s">
        <v>6</v>
      </c>
      <c r="B38" s="21" t="s">
        <v>270</v>
      </c>
      <c r="C38" s="22" t="s">
        <v>382</v>
      </c>
      <c r="D38" s="23" t="s">
        <v>164</v>
      </c>
      <c r="E38" s="23" t="s">
        <v>383</v>
      </c>
      <c r="F38" s="24">
        <f t="shared" si="2"/>
        <v>0.025208333333333333</v>
      </c>
      <c r="G38" s="25">
        <f>(5-COUNT(V38,Y38,AB38,AE38,AH38))*'штрафы-карточка'!$B$4+(4-COUNT(AK38,AL38,AO38,AR38))*'штрафы-карточка'!$B$5+(7-COUNT(X38,AA38,AD38,AG38,AN38,AQ38,AT38))*'штрафы-карточка'!$B$3</f>
        <v>150</v>
      </c>
      <c r="H38" s="26">
        <f>VLOOKUP(D38,'штрафы-карточка'!$E$2:$L$300,2,FALSE)</f>
        <v>300</v>
      </c>
      <c r="I38" s="26">
        <f>VLOOKUP(D38,'штрафы-карточка'!$E$2:$L$300,3,FALSE)</f>
        <v>0</v>
      </c>
      <c r="J38" s="26">
        <f>VLOOKUP(D38,'штрафы-карточка'!$E$2:$L$300,4,FALSE)</f>
        <v>0</v>
      </c>
      <c r="K38" s="26">
        <f>VLOOKUP(D38,'штрафы-карточка'!$E$2:$L$300,5,FALSE)</f>
        <v>0</v>
      </c>
      <c r="L38" s="26">
        <f>VLOOKUP(D38,'штрафы-карточка'!$E$2:$L$300,6,FALSE)</f>
        <v>0</v>
      </c>
      <c r="M38" s="26">
        <f>VLOOKUP(D38,'штрафы-карточка'!$E$2:$L$300,7,FALSE)</f>
        <v>0</v>
      </c>
      <c r="N38" s="26">
        <f>VLOOKUP(D38,'штрафы-карточка'!$E$2:$L$300,8,FALSE)</f>
        <v>120</v>
      </c>
      <c r="O38" s="61">
        <f t="shared" si="3"/>
        <v>0.8225231481481482</v>
      </c>
      <c r="P38" s="49">
        <v>0.010578703703703703</v>
      </c>
      <c r="Q38" s="57"/>
      <c r="R38" s="49">
        <v>0.1671527777777778</v>
      </c>
      <c r="S38" s="49">
        <v>0.23224537037037038</v>
      </c>
      <c r="T38" s="57">
        <v>0.11844907407407408</v>
      </c>
      <c r="U38" s="57">
        <v>0.1650462962962963</v>
      </c>
      <c r="V38" s="49">
        <v>0.25223379629629633</v>
      </c>
      <c r="W38" s="49">
        <v>0.25223379629629633</v>
      </c>
      <c r="X38" s="49">
        <v>0.2541319444444445</v>
      </c>
      <c r="Y38" s="57">
        <v>0.2789351851851852</v>
      </c>
      <c r="Z38" s="57">
        <v>0.28032407407407406</v>
      </c>
      <c r="AA38" s="57">
        <v>0.2889351851851852</v>
      </c>
      <c r="AB38" s="49">
        <v>0.10680555555555556</v>
      </c>
      <c r="AC38" s="49">
        <v>0.10680555555555556</v>
      </c>
      <c r="AD38" s="49">
        <v>0.11076388888888888</v>
      </c>
      <c r="AE38" s="57">
        <v>0.06180555555555556</v>
      </c>
      <c r="AF38" s="57">
        <v>0.085625</v>
      </c>
      <c r="AG38" s="57">
        <v>0.08662037037037036</v>
      </c>
      <c r="AH38" s="49">
        <v>0.0416666666666667</v>
      </c>
      <c r="AI38" s="57">
        <v>0.3757175925925926</v>
      </c>
      <c r="AJ38" s="57">
        <v>0.3875694444444444</v>
      </c>
      <c r="AK38" s="49">
        <v>0.3949768518518519</v>
      </c>
      <c r="AL38" s="57">
        <v>0.436412037037037</v>
      </c>
      <c r="AM38" s="57">
        <v>0.436412037037037</v>
      </c>
      <c r="AN38" s="57">
        <v>0.4409375</v>
      </c>
      <c r="AO38" s="49"/>
      <c r="AP38" s="49"/>
      <c r="AQ38" s="49"/>
      <c r="AR38" s="57">
        <v>0.34237268518518515</v>
      </c>
      <c r="AS38" s="57">
        <v>0.34237268518518515</v>
      </c>
      <c r="AT38" s="57">
        <v>0.3550115740740741</v>
      </c>
      <c r="AU38" s="39"/>
      <c r="AV38" s="39"/>
      <c r="AW38" s="39"/>
      <c r="AX38" s="39"/>
    </row>
    <row r="39" spans="1:50" ht="13.5">
      <c r="A39" s="23" t="s">
        <v>7</v>
      </c>
      <c r="B39" s="21" t="s">
        <v>270</v>
      </c>
      <c r="C39" s="22" t="s">
        <v>358</v>
      </c>
      <c r="D39" s="23" t="s">
        <v>165</v>
      </c>
      <c r="E39" s="23" t="s">
        <v>359</v>
      </c>
      <c r="F39" s="24">
        <f t="shared" si="2"/>
        <v>0.04567129629629624</v>
      </c>
      <c r="G39" s="25">
        <f>(5-COUNT(V39,Y39,AB39,AE39,AH39))*'штрафы-карточка'!$B$4+(4-COUNT(AK39,AL39,AO39,AR39))*'штрафы-карточка'!$B$5+(7-COUNT(X39,AA39,AD39,AG39,AN39,AQ39,AT39))*'штрафы-карточка'!$B$3</f>
        <v>30</v>
      </c>
      <c r="H39" s="26">
        <f>VLOOKUP(D39,'штрафы-карточка'!$E$2:$L$300,2,FALSE)</f>
        <v>780</v>
      </c>
      <c r="I39" s="26">
        <f>VLOOKUP(D39,'штрафы-карточка'!$E$2:$L$300,3,FALSE)</f>
        <v>60</v>
      </c>
      <c r="J39" s="26">
        <f>VLOOKUP(D39,'штрафы-карточка'!$E$2:$L$300,4,FALSE)</f>
        <v>0</v>
      </c>
      <c r="K39" s="26">
        <f>VLOOKUP(D39,'штрафы-карточка'!$E$2:$L$300,5,FALSE)</f>
        <v>0</v>
      </c>
      <c r="L39" s="26">
        <f>VLOOKUP(D39,'штрафы-карточка'!$E$2:$L$300,6,FALSE)</f>
        <v>0</v>
      </c>
      <c r="M39" s="26">
        <f>VLOOKUP(D39,'штрафы-карточка'!$E$2:$L$300,7,FALSE)</f>
        <v>150</v>
      </c>
      <c r="N39" s="26">
        <f>VLOOKUP(D39,'штрафы-карточка'!$E$2:$L$300,8,FALSE)</f>
        <v>0</v>
      </c>
      <c r="O39" s="61">
        <f t="shared" si="3"/>
        <v>1.1162384259259261</v>
      </c>
      <c r="P39" s="49">
        <v>0.01306712962962963</v>
      </c>
      <c r="Q39" s="57">
        <v>0.4116550925925926</v>
      </c>
      <c r="R39" s="49">
        <v>0.18260416666666668</v>
      </c>
      <c r="S39" s="49">
        <v>0.29921296296296296</v>
      </c>
      <c r="T39" s="57">
        <v>0.30471064814814813</v>
      </c>
      <c r="U39" s="57">
        <v>0.3365972222222222</v>
      </c>
      <c r="V39" s="49">
        <v>0.3694675925925926</v>
      </c>
      <c r="W39" s="49">
        <v>0.3712962962962963</v>
      </c>
      <c r="X39" s="49">
        <v>0.37243055555555554</v>
      </c>
      <c r="Y39" s="57">
        <v>0.14085648148148147</v>
      </c>
      <c r="Z39" s="57">
        <v>0.14085648148148147</v>
      </c>
      <c r="AA39" s="57">
        <v>0.14265046296296297</v>
      </c>
      <c r="AB39" s="49">
        <v>0.1514351851851852</v>
      </c>
      <c r="AC39" s="49">
        <v>0.1514351851851852</v>
      </c>
      <c r="AD39" s="49">
        <v>0.15263888888888888</v>
      </c>
      <c r="AE39" s="57">
        <v>0.08604166666666667</v>
      </c>
      <c r="AF39" s="57">
        <v>0.12364583333333333</v>
      </c>
      <c r="AG39" s="57">
        <v>0.12461805555555555</v>
      </c>
      <c r="AH39" s="49">
        <v>0.0416666666666667</v>
      </c>
      <c r="AI39" s="57"/>
      <c r="AJ39" s="57"/>
      <c r="AK39" s="49"/>
      <c r="AL39" s="57">
        <v>0.4410648148148148</v>
      </c>
      <c r="AM39" s="57">
        <v>0.44634259259259257</v>
      </c>
      <c r="AN39" s="57">
        <v>0.44768518518518513</v>
      </c>
      <c r="AO39" s="49">
        <v>0.43668981481481484</v>
      </c>
      <c r="AP39" s="49">
        <v>0.43765046296296295</v>
      </c>
      <c r="AQ39" s="49">
        <v>0.4389351851851852</v>
      </c>
      <c r="AR39" s="57">
        <v>0.4019212962962963</v>
      </c>
      <c r="AS39" s="57">
        <v>0.4019212962962963</v>
      </c>
      <c r="AT39" s="57">
        <v>0.40745370370370365</v>
      </c>
      <c r="AU39" s="39"/>
      <c r="AV39" s="39"/>
      <c r="AW39" s="39"/>
      <c r="AX39" s="39"/>
    </row>
    <row r="40" spans="1:50" ht="13.5">
      <c r="A40" s="23" t="s">
        <v>8</v>
      </c>
      <c r="B40" s="21" t="s">
        <v>270</v>
      </c>
      <c r="C40" s="22" t="s">
        <v>316</v>
      </c>
      <c r="D40" s="23" t="s">
        <v>170</v>
      </c>
      <c r="E40" s="23" t="s">
        <v>317</v>
      </c>
      <c r="F40" s="24">
        <f t="shared" si="2"/>
        <v>0.050347222222222376</v>
      </c>
      <c r="G40" s="25">
        <f>(5-COUNT(V40,Y40,AB40,AE40,AH40))*'штрафы-карточка'!$B$4+(4-COUNT(AK40,AL40,AO40,AR40))*'штрафы-карточка'!$B$5+(7-COUNT(X40,AA40,AD40,AG40,AN40,AQ40,AT40))*'штрафы-карточка'!$B$3</f>
        <v>30</v>
      </c>
      <c r="H40" s="26">
        <f>VLOOKUP(D40,'штрафы-карточка'!$E$2:$L$300,2,FALSE)</f>
        <v>780</v>
      </c>
      <c r="I40" s="26">
        <f>VLOOKUP(D40,'штрафы-карточка'!$E$2:$L$300,3,FALSE)</f>
        <v>120</v>
      </c>
      <c r="J40" s="26">
        <f>VLOOKUP(D40,'штрафы-карточка'!$E$2:$L$300,4,FALSE)</f>
        <v>0</v>
      </c>
      <c r="K40" s="26">
        <f>VLOOKUP(D40,'штрафы-карточка'!$E$2:$L$300,5,FALSE)</f>
        <v>0</v>
      </c>
      <c r="L40" s="26">
        <f>VLOOKUP(D40,'штрафы-карточка'!$E$2:$L$300,6,FALSE)</f>
        <v>240</v>
      </c>
      <c r="M40" s="26">
        <f>VLOOKUP(D40,'штрафы-карточка'!$E$2:$L$300,7,FALSE)</f>
        <v>150</v>
      </c>
      <c r="N40" s="26">
        <f>VLOOKUP(D40,'штрафы-карточка'!$E$2:$L$300,8,FALSE)</f>
        <v>0</v>
      </c>
      <c r="O40" s="61">
        <f t="shared" si="3"/>
        <v>1.293900462962963</v>
      </c>
      <c r="P40" s="49">
        <v>0.0078125</v>
      </c>
      <c r="Q40" s="57">
        <v>0.37373842592592593</v>
      </c>
      <c r="R40" s="49">
        <v>0.1742824074074074</v>
      </c>
      <c r="S40" s="49">
        <v>0.2354861111111111</v>
      </c>
      <c r="T40" s="57">
        <v>0.2360648148148148</v>
      </c>
      <c r="U40" s="57">
        <v>0.2815856481481482</v>
      </c>
      <c r="V40" s="49">
        <v>0.3015162037037037</v>
      </c>
      <c r="W40" s="49">
        <v>0.30569444444444444</v>
      </c>
      <c r="X40" s="49">
        <v>0.3089236111111111</v>
      </c>
      <c r="Y40" s="57">
        <v>0.33831018518518513</v>
      </c>
      <c r="Z40" s="57">
        <v>0.3395138888888889</v>
      </c>
      <c r="AA40" s="57">
        <v>0.3429166666666667</v>
      </c>
      <c r="AB40" s="49">
        <v>0.16122685185185184</v>
      </c>
      <c r="AC40" s="49">
        <v>0.16122685185185184</v>
      </c>
      <c r="AD40" s="49">
        <v>0.16383101851851853</v>
      </c>
      <c r="AE40" s="57">
        <v>0.08530092592592592</v>
      </c>
      <c r="AF40" s="57">
        <v>0.12133101851851852</v>
      </c>
      <c r="AG40" s="57">
        <v>0.1228587962962963</v>
      </c>
      <c r="AH40" s="49">
        <v>0.0416666666666667</v>
      </c>
      <c r="AI40" s="57"/>
      <c r="AJ40" s="57"/>
      <c r="AK40" s="49"/>
      <c r="AL40" s="57">
        <v>0.3846412037037037</v>
      </c>
      <c r="AM40" s="57">
        <v>0.3846412037037037</v>
      </c>
      <c r="AN40" s="57">
        <v>0.3879166666666667</v>
      </c>
      <c r="AO40" s="49">
        <v>0.4096180555555555</v>
      </c>
      <c r="AP40" s="49">
        <v>0.4185532407407408</v>
      </c>
      <c r="AQ40" s="49">
        <v>0.4209143518518519</v>
      </c>
      <c r="AR40" s="57">
        <v>0.36074074074074075</v>
      </c>
      <c r="AS40" s="57">
        <v>0.36074074074074075</v>
      </c>
      <c r="AT40" s="57">
        <v>0.3669328703703704</v>
      </c>
      <c r="AU40" s="39"/>
      <c r="AV40" s="39"/>
      <c r="AW40" s="39"/>
      <c r="AX40" s="39"/>
    </row>
    <row r="41" spans="1:50" ht="13.5">
      <c r="A41" s="23" t="s">
        <v>9</v>
      </c>
      <c r="B41" s="21" t="s">
        <v>270</v>
      </c>
      <c r="C41" s="22" t="s">
        <v>408</v>
      </c>
      <c r="D41" s="23" t="s">
        <v>175</v>
      </c>
      <c r="E41" s="23" t="s">
        <v>409</v>
      </c>
      <c r="F41" s="24">
        <f t="shared" si="2"/>
        <v>0.015150462962962963</v>
      </c>
      <c r="G41" s="25">
        <f>(5-COUNT(V41,Y41,AB41,AE41,AH41))*'штрафы-карточка'!$B$4+(4-COUNT(AK41,AL41,AO41,AR41))*'штрафы-карточка'!$B$5+(7-COUNT(X41,AA41,AD41,AG41,AN41,AQ41,AT41))*'штрафы-карточка'!$B$3</f>
        <v>300</v>
      </c>
      <c r="H41" s="26">
        <f>VLOOKUP(D41,'штрафы-карточка'!$E$2:$L$300,2,FALSE)</f>
        <v>780</v>
      </c>
      <c r="I41" s="26">
        <f>VLOOKUP(D41,'штрафы-карточка'!$E$2:$L$300,3,FALSE)</f>
        <v>0</v>
      </c>
      <c r="J41" s="26">
        <f>VLOOKUP(D41,'штрафы-карточка'!$E$2:$L$300,4,FALSE)</f>
        <v>0</v>
      </c>
      <c r="K41" s="26">
        <f>VLOOKUP(D41,'штрафы-карточка'!$E$2:$L$300,5,FALSE)</f>
        <v>0</v>
      </c>
      <c r="L41" s="26">
        <f>VLOOKUP(D41,'штрафы-карточка'!$E$2:$L$300,6,FALSE)</f>
        <v>150</v>
      </c>
      <c r="M41" s="26">
        <f>VLOOKUP(D41,'штрафы-карточка'!$E$2:$L$300,7,FALSE)</f>
        <v>150</v>
      </c>
      <c r="N41" s="26">
        <f>VLOOKUP(D41,'штрафы-карточка'!$E$2:$L$300,8,FALSE)</f>
        <v>30</v>
      </c>
      <c r="O41" s="61">
        <f t="shared" si="3"/>
        <v>1.4134606481481482</v>
      </c>
      <c r="P41" s="49">
        <v>0.011886574074074075</v>
      </c>
      <c r="Q41" s="57">
        <v>0.4192939814814815</v>
      </c>
      <c r="R41" s="49">
        <v>0.08471064814814815</v>
      </c>
      <c r="S41" s="49">
        <v>0.1757291666666667</v>
      </c>
      <c r="T41" s="57">
        <v>0.17586805555555554</v>
      </c>
      <c r="U41" s="57">
        <v>0.2119212962962963</v>
      </c>
      <c r="V41" s="49">
        <v>0.05513888888888888</v>
      </c>
      <c r="W41" s="49">
        <v>0.06605324074074075</v>
      </c>
      <c r="X41" s="49">
        <v>0.068125</v>
      </c>
      <c r="Y41" s="67">
        <v>0.2916666666666667</v>
      </c>
      <c r="Z41" s="67">
        <v>0.2916666666666667</v>
      </c>
      <c r="AA41" s="57">
        <v>0.30061342592592594</v>
      </c>
      <c r="AB41" s="49">
        <v>0.28163194444444445</v>
      </c>
      <c r="AC41" s="49">
        <v>0.28163194444444445</v>
      </c>
      <c r="AD41" s="68">
        <v>0.2847222222222222</v>
      </c>
      <c r="AE41" s="57">
        <v>0.32916666666666666</v>
      </c>
      <c r="AF41" s="57">
        <v>0.33340277777777777</v>
      </c>
      <c r="AG41" s="57">
        <v>0.3351041666666667</v>
      </c>
      <c r="AH41" s="49">
        <v>0.0416666666666667</v>
      </c>
      <c r="AI41" s="57"/>
      <c r="AJ41" s="57"/>
      <c r="AK41" s="49"/>
      <c r="AL41" s="67">
        <v>0.4305555555555556</v>
      </c>
      <c r="AM41" s="67">
        <v>0.4305555555555556</v>
      </c>
      <c r="AN41" s="57">
        <v>0.4328356481481481</v>
      </c>
      <c r="AO41" s="49"/>
      <c r="AP41" s="49"/>
      <c r="AQ41" s="49"/>
      <c r="AR41" s="67">
        <v>0.40277777777777773</v>
      </c>
      <c r="AS41" s="67">
        <v>0.40277777777777773</v>
      </c>
      <c r="AT41" s="57"/>
      <c r="AU41" s="39"/>
      <c r="AV41" s="39"/>
      <c r="AW41" s="39"/>
      <c r="AX41" s="39"/>
    </row>
    <row r="42" spans="1:50" ht="13.5">
      <c r="A42" s="23" t="s">
        <v>10</v>
      </c>
      <c r="B42" s="21" t="s">
        <v>270</v>
      </c>
      <c r="C42" s="22" t="s">
        <v>410</v>
      </c>
      <c r="D42" s="23" t="s">
        <v>172</v>
      </c>
      <c r="E42" s="23" t="s">
        <v>411</v>
      </c>
      <c r="F42" s="24">
        <f t="shared" si="2"/>
        <v>0</v>
      </c>
      <c r="G42" s="25">
        <f>(5-COUNT(V42,Y42,AB42,AE42,AH42))*'штрафы-карточка'!$B$4+(4-COUNT(AK42,AL42,AO42,AR42))*'штрафы-карточка'!$B$5+(7-COUNT(X42,AA42,AD42,AG42,AN42,AQ42,AT42))*'штрафы-карточка'!$B$3</f>
        <v>510</v>
      </c>
      <c r="H42" s="26">
        <f>VLOOKUP(D42,'штрафы-карточка'!$E$2:$L$300,2,FALSE)</f>
        <v>30</v>
      </c>
      <c r="I42" s="26">
        <f>VLOOKUP(D42,'штрафы-карточка'!$E$2:$L$300,3,FALSE)</f>
        <v>660</v>
      </c>
      <c r="J42" s="26">
        <f>VLOOKUP(D42,'штрафы-карточка'!$E$2:$L$300,4,FALSE)</f>
        <v>0</v>
      </c>
      <c r="K42" s="26">
        <f>VLOOKUP(D42,'штрафы-карточка'!$E$2:$L$300,5,FALSE)</f>
        <v>360</v>
      </c>
      <c r="L42" s="26">
        <f>VLOOKUP(D42,'штрафы-карточка'!$E$2:$L$300,6,FALSE)</f>
        <v>0</v>
      </c>
      <c r="M42" s="26">
        <f>VLOOKUP(D42,'штрафы-карточка'!$E$2:$L$300,7,FALSE)</f>
        <v>0</v>
      </c>
      <c r="N42" s="26">
        <f>VLOOKUP(D42,'штрафы-карточка'!$E$2:$L$300,8,FALSE)</f>
        <v>0</v>
      </c>
      <c r="O42" s="61">
        <f t="shared" si="3"/>
        <v>1.4574537037037039</v>
      </c>
      <c r="P42" s="49">
        <v>0.008993055555555554</v>
      </c>
      <c r="Q42" s="57">
        <v>0.26967592592592593</v>
      </c>
      <c r="R42" s="49">
        <v>0.049039351851851855</v>
      </c>
      <c r="S42" s="49">
        <v>0.1384027777777778</v>
      </c>
      <c r="T42" s="57"/>
      <c r="U42" s="57"/>
      <c r="V42" s="49"/>
      <c r="W42" s="49"/>
      <c r="X42" s="49"/>
      <c r="Y42" s="57">
        <v>0.1967824074074074</v>
      </c>
      <c r="Z42" s="57">
        <v>0.1967824074074074</v>
      </c>
      <c r="AA42" s="57">
        <v>0.20652777777777778</v>
      </c>
      <c r="AB42" s="49">
        <v>0.2173263888888889</v>
      </c>
      <c r="AC42" s="49">
        <v>0.2173263888888889</v>
      </c>
      <c r="AD42" s="49">
        <v>0.2202314814814815</v>
      </c>
      <c r="AE42" s="57"/>
      <c r="AF42" s="57"/>
      <c r="AG42" s="57"/>
      <c r="AH42" s="49">
        <v>0.0416666666666667</v>
      </c>
      <c r="AI42" s="57">
        <v>0.337800925925926</v>
      </c>
      <c r="AJ42" s="57">
        <v>0.34276620370370375</v>
      </c>
      <c r="AK42" s="49">
        <v>0.3485648148148148</v>
      </c>
      <c r="AL42" s="57">
        <v>0.28184027777777776</v>
      </c>
      <c r="AM42" s="57">
        <v>0.28184027777777776</v>
      </c>
      <c r="AN42" s="57">
        <v>0.28457175925925926</v>
      </c>
      <c r="AO42" s="49">
        <v>0.3005671296296296</v>
      </c>
      <c r="AP42" s="49">
        <v>0.3005671296296296</v>
      </c>
      <c r="AQ42" s="49">
        <v>0.30197916666666663</v>
      </c>
      <c r="AR42" s="57"/>
      <c r="AS42" s="57"/>
      <c r="AT42" s="57"/>
      <c r="AU42" s="39"/>
      <c r="AV42" s="39"/>
      <c r="AW42" s="39"/>
      <c r="AX42" s="39"/>
    </row>
    <row r="43" spans="1:50" ht="13.5">
      <c r="A43" s="23" t="s">
        <v>11</v>
      </c>
      <c r="B43" s="21" t="s">
        <v>270</v>
      </c>
      <c r="C43" s="22" t="s">
        <v>368</v>
      </c>
      <c r="D43" s="23" t="s">
        <v>169</v>
      </c>
      <c r="E43" s="23" t="s">
        <v>369</v>
      </c>
      <c r="F43" s="24">
        <f t="shared" si="2"/>
        <v>0.025034722222222305</v>
      </c>
      <c r="G43" s="25">
        <f>(5-COUNT(V43,Y43,AB43,AE43,AH43))*'штрафы-карточка'!$B$4+(4-COUNT(AK43,AL43,AO43,AR43))*'штрафы-карточка'!$B$5+(7-COUNT(X43,AA43,AD43,AG43,AN43,AQ43,AT43))*'штрафы-карточка'!$B$3</f>
        <v>180</v>
      </c>
      <c r="H43" s="26">
        <f>VLOOKUP(D43,'штрафы-карточка'!$E$2:$L$300,2,FALSE)</f>
        <v>780</v>
      </c>
      <c r="I43" s="26">
        <f>VLOOKUP(D43,'штрафы-карточка'!$E$2:$L$300,3,FALSE)</f>
        <v>480</v>
      </c>
      <c r="J43" s="26">
        <f>VLOOKUP(D43,'штрафы-карточка'!$E$2:$L$300,4,FALSE)</f>
        <v>0</v>
      </c>
      <c r="K43" s="26">
        <f>VLOOKUP(D43,'штрафы-карточка'!$E$2:$L$300,5,FALSE)</f>
        <v>0</v>
      </c>
      <c r="L43" s="26">
        <f>VLOOKUP(D43,'штрафы-карточка'!$E$2:$L$300,6,FALSE)</f>
        <v>0</v>
      </c>
      <c r="M43" s="26">
        <f>VLOOKUP(D43,'штрафы-карточка'!$E$2:$L$300,7,FALSE)</f>
        <v>150</v>
      </c>
      <c r="N43" s="26">
        <f>VLOOKUP(D43,'штрафы-карточка'!$E$2:$L$300,8,FALSE)</f>
        <v>120</v>
      </c>
      <c r="O43" s="61">
        <f t="shared" si="3"/>
        <v>1.5126504629629627</v>
      </c>
      <c r="P43" s="49">
        <v>0.008645833333333333</v>
      </c>
      <c r="Q43" s="57">
        <v>0.3337847222222223</v>
      </c>
      <c r="R43" s="49">
        <v>0.07219907407407407</v>
      </c>
      <c r="S43" s="49">
        <v>0.13486111111111113</v>
      </c>
      <c r="T43" s="57">
        <v>0.18675925925925926</v>
      </c>
      <c r="U43" s="57"/>
      <c r="V43" s="49">
        <v>0.213912037037037</v>
      </c>
      <c r="W43" s="49">
        <v>0.21542824074074074</v>
      </c>
      <c r="X43" s="49">
        <v>0.21958333333333332</v>
      </c>
      <c r="Y43" s="57">
        <v>0.03533564814814815</v>
      </c>
      <c r="Z43" s="57">
        <v>0.054050925925925926</v>
      </c>
      <c r="AA43" s="57">
        <v>0.05952546296296296</v>
      </c>
      <c r="AB43" s="49">
        <v>0.26810185185185187</v>
      </c>
      <c r="AC43" s="49">
        <v>0.26810185185185187</v>
      </c>
      <c r="AD43" s="49">
        <v>0.27114583333333336</v>
      </c>
      <c r="AE43" s="57">
        <v>0.29157407407407404</v>
      </c>
      <c r="AF43" s="57">
        <v>0.29310185185185184</v>
      </c>
      <c r="AG43" s="57">
        <v>0.29452546296296295</v>
      </c>
      <c r="AH43" s="49">
        <v>0.0416666666666667</v>
      </c>
      <c r="AI43" s="57"/>
      <c r="AJ43" s="57"/>
      <c r="AK43" s="49"/>
      <c r="AL43" s="57">
        <v>0.34259259259259256</v>
      </c>
      <c r="AM43" s="57">
        <v>0.34259259259259256</v>
      </c>
      <c r="AN43" s="57">
        <v>0.3454629629629629</v>
      </c>
      <c r="AO43" s="49"/>
      <c r="AP43" s="49"/>
      <c r="AQ43" s="49"/>
      <c r="AR43" s="57">
        <v>0.32304398148148145</v>
      </c>
      <c r="AS43" s="57">
        <v>0.32631944444444444</v>
      </c>
      <c r="AT43" s="57">
        <v>0.32969907407407406</v>
      </c>
      <c r="AU43" s="39"/>
      <c r="AV43" s="39"/>
      <c r="AW43" s="39"/>
      <c r="AX43" s="39"/>
    </row>
    <row r="44" spans="1:50" ht="13.5">
      <c r="A44" s="23" t="s">
        <v>12</v>
      </c>
      <c r="B44" s="21" t="s">
        <v>270</v>
      </c>
      <c r="C44" s="22" t="s">
        <v>412</v>
      </c>
      <c r="D44" s="23" t="s">
        <v>168</v>
      </c>
      <c r="E44" s="23" t="s">
        <v>413</v>
      </c>
      <c r="F44" s="24">
        <f t="shared" si="2"/>
        <v>0.007870370370370472</v>
      </c>
      <c r="G44" s="25">
        <f>(5-COUNT(V44,Y44,AB44,AE44,AH44))*'штрафы-карточка'!$B$4+(4-COUNT(AK44,AL44,AO44,AR44))*'штрафы-карточка'!$B$5+(7-COUNT(X44,AA44,AD44,AG44,AN44,AQ44,AT44))*'штрафы-карточка'!$B$3</f>
        <v>510</v>
      </c>
      <c r="H44" s="26">
        <f>VLOOKUP(D44,'штрафы-карточка'!$E$2:$L$300,2,FALSE)</f>
        <v>780</v>
      </c>
      <c r="I44" s="26">
        <f>VLOOKUP(D44,'штрафы-карточка'!$E$2:$L$300,3,FALSE)</f>
        <v>240</v>
      </c>
      <c r="J44" s="26">
        <f>VLOOKUP(D44,'штрафы-карточка'!$E$2:$L$300,4,FALSE)</f>
        <v>0</v>
      </c>
      <c r="K44" s="26">
        <f>VLOOKUP(D44,'штрафы-карточка'!$E$2:$L$300,5,FALSE)</f>
        <v>0</v>
      </c>
      <c r="L44" s="26">
        <f>VLOOKUP(D44,'штрафы-карточка'!$E$2:$L$300,6,FALSE)</f>
        <v>30</v>
      </c>
      <c r="M44" s="26">
        <f>VLOOKUP(D44,'штрафы-карточка'!$E$2:$L$300,7,FALSE)</f>
        <v>150</v>
      </c>
      <c r="N44" s="26">
        <f>VLOOKUP(D44,'штрафы-карточка'!$E$2:$L$300,8,FALSE)</f>
        <v>0</v>
      </c>
      <c r="O44" s="61">
        <f t="shared" si="3"/>
        <v>1.6340277777777776</v>
      </c>
      <c r="P44" s="49">
        <v>0.014849537037037036</v>
      </c>
      <c r="Q44" s="57">
        <v>0.4198148148148148</v>
      </c>
      <c r="R44" s="49">
        <v>0.23150462962962962</v>
      </c>
      <c r="S44" s="49"/>
      <c r="T44" s="57">
        <v>0.3366550925925926</v>
      </c>
      <c r="U44" s="57">
        <v>0.3817592592592593</v>
      </c>
      <c r="V44" s="49"/>
      <c r="W44" s="49"/>
      <c r="X44" s="49"/>
      <c r="Y44" s="57">
        <v>0.1812384259259259</v>
      </c>
      <c r="Z44" s="57">
        <v>0.1828587962962963</v>
      </c>
      <c r="AA44" s="57">
        <v>0.19050925925925924</v>
      </c>
      <c r="AB44" s="49">
        <v>0.20106481481481484</v>
      </c>
      <c r="AC44" s="49">
        <v>0.20106481481481484</v>
      </c>
      <c r="AD44" s="49">
        <v>0.2046527777777778</v>
      </c>
      <c r="AE44" s="57">
        <v>0.12493055555555554</v>
      </c>
      <c r="AF44" s="57">
        <v>0.12893518518518518</v>
      </c>
      <c r="AG44" s="57">
        <v>0.12983796296296296</v>
      </c>
      <c r="AH44" s="49">
        <v>0.0416666666666667</v>
      </c>
      <c r="AI44" s="57"/>
      <c r="AJ44" s="57"/>
      <c r="AK44" s="49"/>
      <c r="AL44" s="57"/>
      <c r="AM44" s="57"/>
      <c r="AN44" s="57"/>
      <c r="AO44" s="49">
        <v>0.44184027777777773</v>
      </c>
      <c r="AP44" s="49">
        <v>0.44408564814814816</v>
      </c>
      <c r="AQ44" s="49">
        <v>0.4461458333333333</v>
      </c>
      <c r="AR44" s="57"/>
      <c r="AS44" s="57"/>
      <c r="AT44" s="57"/>
      <c r="AU44" s="39"/>
      <c r="AV44" s="39"/>
      <c r="AW44" s="39"/>
      <c r="AX44" s="39"/>
    </row>
    <row r="45" spans="1:50" ht="13.5">
      <c r="A45" s="23" t="s">
        <v>14</v>
      </c>
      <c r="B45" s="21" t="s">
        <v>270</v>
      </c>
      <c r="C45" s="22" t="s">
        <v>402</v>
      </c>
      <c r="D45" s="23" t="s">
        <v>167</v>
      </c>
      <c r="E45" s="23" t="s">
        <v>403</v>
      </c>
      <c r="F45" s="24">
        <f t="shared" si="2"/>
        <v>0.011909722222222197</v>
      </c>
      <c r="G45" s="25">
        <f>(5-COUNT(V45,Y45,AB45,AE45,AH45))*'штрафы-карточка'!$B$4+(4-COUNT(AK45,AL45,AO45,AR45))*'штрафы-карточка'!$B$5+(7-COUNT(X45,AA45,AD45,AG45,AN45,AQ45,AT45))*'штрафы-карточка'!$B$3</f>
        <v>330</v>
      </c>
      <c r="H45" s="26">
        <f>VLOOKUP(D45,'штрафы-карточка'!$E$2:$L$300,2,FALSE)</f>
        <v>780</v>
      </c>
      <c r="I45" s="26">
        <f>VLOOKUP(D45,'штрафы-карточка'!$E$2:$L$300,3,FALSE)</f>
        <v>540</v>
      </c>
      <c r="J45" s="26">
        <f>VLOOKUP(D45,'штрафы-карточка'!$E$2:$L$300,4,FALSE)</f>
        <v>0</v>
      </c>
      <c r="K45" s="26">
        <f>VLOOKUP(D45,'штрафы-карточка'!$E$2:$L$300,5,FALSE)</f>
        <v>0</v>
      </c>
      <c r="L45" s="26">
        <f>VLOOKUP(D45,'штрафы-карточка'!$E$2:$L$300,6,FALSE)</f>
        <v>150</v>
      </c>
      <c r="M45" s="26">
        <f>VLOOKUP(D45,'штрафы-карточка'!$E$2:$L$300,7,FALSE)</f>
        <v>150</v>
      </c>
      <c r="N45" s="26">
        <f>VLOOKUP(D45,'штрафы-карточка'!$E$2:$L$300,8,FALSE)</f>
        <v>120</v>
      </c>
      <c r="O45" s="61">
        <f t="shared" si="3"/>
        <v>1.8639467592592593</v>
      </c>
      <c r="P45" s="49">
        <v>0.01644675925925926</v>
      </c>
      <c r="Q45" s="57"/>
      <c r="R45" s="49">
        <v>0.2035648148148148</v>
      </c>
      <c r="S45" s="49">
        <v>0.2940625</v>
      </c>
      <c r="T45" s="57">
        <v>0.13715277777777776</v>
      </c>
      <c r="U45" s="57">
        <v>0.19532407407407407</v>
      </c>
      <c r="V45" s="49">
        <v>0.09741898148148148</v>
      </c>
      <c r="W45" s="49">
        <v>0.09741898148148148</v>
      </c>
      <c r="X45" s="49">
        <v>0.10325231481481482</v>
      </c>
      <c r="Y45" s="57">
        <v>0.033379629629629634</v>
      </c>
      <c r="Z45" s="57">
        <v>0.04528935185185185</v>
      </c>
      <c r="AA45" s="57">
        <v>0.06052083333333333</v>
      </c>
      <c r="AB45" s="49">
        <v>0.3249537037037037</v>
      </c>
      <c r="AC45" s="49">
        <v>0.3249537037037037</v>
      </c>
      <c r="AD45" s="49">
        <v>0.3320370370370371</v>
      </c>
      <c r="AE45" s="57">
        <v>0.3887037037037037</v>
      </c>
      <c r="AF45" s="57">
        <v>0.3887037037037037</v>
      </c>
      <c r="AG45" s="57">
        <v>0.39056712962962964</v>
      </c>
      <c r="AH45" s="49">
        <v>0.0416666666666667</v>
      </c>
      <c r="AI45" s="57"/>
      <c r="AJ45" s="57"/>
      <c r="AK45" s="49"/>
      <c r="AL45" s="57"/>
      <c r="AM45" s="57"/>
      <c r="AN45" s="57"/>
      <c r="AO45" s="49"/>
      <c r="AP45" s="49"/>
      <c r="AQ45" s="49"/>
      <c r="AR45" s="57">
        <v>0.42528935185185185</v>
      </c>
      <c r="AS45" s="57">
        <v>0.42528935185185185</v>
      </c>
      <c r="AT45" s="57">
        <v>0.43172453703703706</v>
      </c>
      <c r="AU45" s="39"/>
      <c r="AV45" s="39"/>
      <c r="AW45" s="39"/>
      <c r="AX45" s="39"/>
    </row>
    <row r="46" spans="1:50" ht="13.5">
      <c r="A46" s="23" t="s">
        <v>15</v>
      </c>
      <c r="B46" s="21" t="s">
        <v>270</v>
      </c>
      <c r="C46" s="22" t="s">
        <v>418</v>
      </c>
      <c r="D46" s="23" t="s">
        <v>174</v>
      </c>
      <c r="E46" s="23" t="s">
        <v>419</v>
      </c>
      <c r="F46" s="24">
        <f t="shared" si="2"/>
        <v>0</v>
      </c>
      <c r="G46" s="25">
        <f>(5-COUNT(V46,Y46,AB46,AE46,AH46))*'штрафы-карточка'!$B$4+(4-COUNT(AK46,AL46,AO46,AR46))*'штрафы-карточка'!$B$5+(7-COUNT(X46,AA46,AD46,AG46,AN46,AQ46,AT46))*'штрафы-карточка'!$B$3</f>
        <v>1140</v>
      </c>
      <c r="H46" s="26">
        <f>VLOOKUP(D46,'штрафы-карточка'!$E$2:$L$300,2,FALSE)</f>
        <v>780</v>
      </c>
      <c r="I46" s="26">
        <f>VLOOKUP(D46,'штрафы-карточка'!$E$2:$L$300,3,FALSE)</f>
        <v>660</v>
      </c>
      <c r="J46" s="26">
        <f>VLOOKUP(D46,'штрафы-карточка'!$E$2:$L$300,4,FALSE)</f>
        <v>0</v>
      </c>
      <c r="K46" s="26">
        <f>VLOOKUP(D46,'штрафы-карточка'!$E$2:$L$300,5,FALSE)</f>
        <v>360</v>
      </c>
      <c r="L46" s="26">
        <f>VLOOKUP(D46,'штрафы-карточка'!$E$2:$L$300,6,FALSE)</f>
        <v>150</v>
      </c>
      <c r="M46" s="26">
        <f>VLOOKUP(D46,'штрафы-карточка'!$E$2:$L$300,7,FALSE)</f>
        <v>150</v>
      </c>
      <c r="N46" s="26">
        <f>VLOOKUP(D46,'штрафы-карточка'!$E$2:$L$300,8,FALSE)</f>
        <v>120</v>
      </c>
      <c r="O46" s="61">
        <f t="shared" si="3"/>
        <v>2.622824074074074</v>
      </c>
      <c r="P46" s="49">
        <v>0.02445601851851852</v>
      </c>
      <c r="Q46" s="57">
        <v>0.27696759259259257</v>
      </c>
      <c r="R46" s="49">
        <v>0.11228009259259258</v>
      </c>
      <c r="S46" s="49">
        <v>0.22047453703703704</v>
      </c>
      <c r="T46" s="57">
        <v>0.2209375</v>
      </c>
      <c r="U46" s="57"/>
      <c r="V46" s="68">
        <v>0.3298611111111111</v>
      </c>
      <c r="W46" s="68">
        <v>0.3298611111111111</v>
      </c>
      <c r="X46" s="49"/>
      <c r="Y46" s="57"/>
      <c r="Z46" s="57"/>
      <c r="AA46" s="57"/>
      <c r="AB46" s="49"/>
      <c r="AC46" s="49"/>
      <c r="AD46" s="49"/>
      <c r="AE46" s="57"/>
      <c r="AF46" s="57"/>
      <c r="AG46" s="57"/>
      <c r="AH46" s="49">
        <v>0.0416666666666667</v>
      </c>
      <c r="AI46" s="57"/>
      <c r="AJ46" s="57"/>
      <c r="AK46" s="49"/>
      <c r="AL46" s="57"/>
      <c r="AM46" s="57"/>
      <c r="AN46" s="57"/>
      <c r="AO46" s="49"/>
      <c r="AP46" s="49"/>
      <c r="AQ46" s="49"/>
      <c r="AR46" s="57"/>
      <c r="AS46" s="57"/>
      <c r="AT46" s="57"/>
      <c r="AU46" s="39"/>
      <c r="AV46" s="39"/>
      <c r="AW46" s="39"/>
      <c r="AX46" s="39"/>
    </row>
    <row r="47" spans="1:50" ht="13.5">
      <c r="A47" s="23" t="s">
        <v>16</v>
      </c>
      <c r="B47" s="21" t="s">
        <v>270</v>
      </c>
      <c r="C47" s="22" t="s">
        <v>390</v>
      </c>
      <c r="D47" s="23" t="s">
        <v>176</v>
      </c>
      <c r="E47" s="23" t="s">
        <v>391</v>
      </c>
      <c r="F47" s="24">
        <f t="shared" si="2"/>
        <v>0.0077777777777778</v>
      </c>
      <c r="G47" s="25">
        <f>(5-COUNT(V47,Y47,AB47,AE47,AH47))*'штрафы-карточка'!$B$4+(4-COUNT(AK47,AL47,AO47,AR47))*'штрафы-карточка'!$B$5+(7-COUNT(X47,AA47,AD47,AG47,AN47,AQ47,AT47))*'штрафы-карточка'!$B$3</f>
        <v>510</v>
      </c>
      <c r="H47" s="26" t="str">
        <f>VLOOKUP(D47,'штрафы-карточка'!$E$2:$L$300,2,FALSE)</f>
        <v>нет карточки</v>
      </c>
      <c r="I47" s="26" t="str">
        <f>VLOOKUP(D47,'штрафы-карточка'!$E$2:$L$300,3,FALSE)</f>
        <v>нет карточки</v>
      </c>
      <c r="J47" s="26" t="str">
        <f>VLOOKUP(D47,'штрафы-карточка'!$E$2:$L$300,4,FALSE)</f>
        <v>нет карточки</v>
      </c>
      <c r="K47" s="26" t="str">
        <f>VLOOKUP(D47,'штрафы-карточка'!$E$2:$L$300,5,FALSE)</f>
        <v>нет карточки</v>
      </c>
      <c r="L47" s="26" t="str">
        <f>VLOOKUP(D47,'штрафы-карточка'!$E$2:$L$300,6,FALSE)</f>
        <v>нет карточки</v>
      </c>
      <c r="M47" s="26" t="str">
        <f>VLOOKUP(D47,'штрафы-карточка'!$E$2:$L$300,7,FALSE)</f>
        <v>нет карточки</v>
      </c>
      <c r="N47" s="26" t="str">
        <f>VLOOKUP(D47,'штрафы-карточка'!$E$2:$L$300,8,FALSE)</f>
        <v>нет карточки</v>
      </c>
      <c r="O47" s="61" t="e">
        <f t="shared" si="3"/>
        <v>#VALUE!</v>
      </c>
      <c r="P47" s="49">
        <v>0.00837962962962963</v>
      </c>
      <c r="Q47" s="57"/>
      <c r="R47" s="49">
        <v>0.06355324074074074</v>
      </c>
      <c r="S47" s="49">
        <v>0.13456018518518517</v>
      </c>
      <c r="T47" s="57">
        <v>0.14291666666666666</v>
      </c>
      <c r="U47" s="57">
        <v>0.18136574074074074</v>
      </c>
      <c r="V47" s="49">
        <v>0.19767361111111112</v>
      </c>
      <c r="W47" s="49">
        <v>0.19767361111111112</v>
      </c>
      <c r="X47" s="49">
        <v>0.2010300925925926</v>
      </c>
      <c r="Y47" s="57">
        <v>0.03155092592592592</v>
      </c>
      <c r="Z47" s="57">
        <v>0.039328703703703706</v>
      </c>
      <c r="AA47" s="57">
        <v>0.04341435185185185</v>
      </c>
      <c r="AB47" s="49">
        <v>0.05061342592592593</v>
      </c>
      <c r="AC47" s="49">
        <v>0.05061342592592593</v>
      </c>
      <c r="AD47" s="49">
        <v>0.05309027777777778</v>
      </c>
      <c r="AE47" s="57"/>
      <c r="AF47" s="57"/>
      <c r="AG47" s="57"/>
      <c r="AH47" s="49">
        <v>0.0416666666666667</v>
      </c>
      <c r="AI47" s="57"/>
      <c r="AJ47" s="57"/>
      <c r="AK47" s="49"/>
      <c r="AL47" s="57"/>
      <c r="AM47" s="57"/>
      <c r="AN47" s="57"/>
      <c r="AO47" s="49"/>
      <c r="AP47" s="49"/>
      <c r="AQ47" s="49"/>
      <c r="AR47" s="57">
        <v>0.2325</v>
      </c>
      <c r="AS47" s="57">
        <v>0.2325</v>
      </c>
      <c r="AT47" s="57">
        <v>0.2408564814814815</v>
      </c>
      <c r="AU47" s="39"/>
      <c r="AV47" s="39"/>
      <c r="AW47" s="39"/>
      <c r="AX47" s="39"/>
    </row>
    <row r="48" spans="1:50" ht="13.5">
      <c r="A48" s="70" t="s">
        <v>1</v>
      </c>
      <c r="B48" s="21" t="s">
        <v>263</v>
      </c>
      <c r="C48" s="22" t="s">
        <v>264</v>
      </c>
      <c r="D48" s="23" t="s">
        <v>132</v>
      </c>
      <c r="E48" s="23" t="s">
        <v>265</v>
      </c>
      <c r="F48" s="24">
        <f t="shared" si="2"/>
        <v>0.0029976851851852004</v>
      </c>
      <c r="G48" s="25">
        <f>(5-COUNT(V48,Y48,AB48,AE48,AH48))*'штрафы-карточка'!$B$4+(4-COUNT(AK48,AL48,AO48,AR48))*'штрафы-карточка'!$B$5+(7-COUNT(X48,AA48,AD48,AG48,AN48,AQ48,AT48))*'штрафы-карточка'!$B$3</f>
        <v>0</v>
      </c>
      <c r="H48" s="26">
        <f>VLOOKUP(D48,'штрафы-карточка'!$E$2:$L$300,2,FALSE)</f>
        <v>0</v>
      </c>
      <c r="I48" s="26">
        <f>VLOOKUP(D48,'штрафы-карточка'!$E$2:$L$300,3,FALSE)</f>
        <v>0</v>
      </c>
      <c r="J48" s="26">
        <f>VLOOKUP(D48,'штрафы-карточка'!$E$2:$L$300,4,FALSE)</f>
        <v>0</v>
      </c>
      <c r="K48" s="26">
        <f>VLOOKUP(D48,'штрафы-карточка'!$E$2:$L$300,5,FALSE)</f>
        <v>0</v>
      </c>
      <c r="L48" s="26">
        <f>VLOOKUP(D48,'штрафы-карточка'!$E$2:$L$300,6,FALSE)</f>
        <v>0</v>
      </c>
      <c r="M48" s="26">
        <f>VLOOKUP(D48,'штрафы-карточка'!$E$2:$L$300,7,FALSE)</f>
        <v>0</v>
      </c>
      <c r="N48" s="26">
        <f>VLOOKUP(D48,'штрафы-карточка'!$E$2:$L$300,8,FALSE)</f>
        <v>0</v>
      </c>
      <c r="O48" s="61">
        <f t="shared" si="3"/>
        <v>0.24657407407407406</v>
      </c>
      <c r="P48" s="49">
        <v>0.006307870370370371</v>
      </c>
      <c r="Q48" s="57">
        <v>0.17069444444444445</v>
      </c>
      <c r="R48" s="49">
        <v>0.09060185185185186</v>
      </c>
      <c r="S48" s="49">
        <v>0.12247685185185185</v>
      </c>
      <c r="T48" s="57">
        <v>0.07109953703703703</v>
      </c>
      <c r="U48" s="57">
        <v>0.0890625</v>
      </c>
      <c r="V48" s="49">
        <v>0.13140046296296296</v>
      </c>
      <c r="W48" s="49">
        <v>0.13140046296296296</v>
      </c>
      <c r="X48" s="49">
        <v>0.13197916666666668</v>
      </c>
      <c r="Y48" s="57">
        <v>0.14907407407407405</v>
      </c>
      <c r="Z48" s="57">
        <v>0.14907407407407405</v>
      </c>
      <c r="AA48" s="57">
        <v>0.15212962962962964</v>
      </c>
      <c r="AB48" s="49">
        <v>0.05752314814814815</v>
      </c>
      <c r="AC48" s="49">
        <v>0.05752314814814815</v>
      </c>
      <c r="AD48" s="49">
        <v>0.05869212962962963</v>
      </c>
      <c r="AE48" s="57">
        <v>0.046608796296296294</v>
      </c>
      <c r="AF48" s="57">
        <v>0.046608796296296294</v>
      </c>
      <c r="AG48" s="57">
        <v>0.04780092592592592</v>
      </c>
      <c r="AH48" s="49">
        <v>0.0416666666666667</v>
      </c>
      <c r="AI48" s="57">
        <v>0.19592592592592592</v>
      </c>
      <c r="AJ48" s="57">
        <v>0.20556712962962964</v>
      </c>
      <c r="AK48" s="49">
        <v>0.19238425925925925</v>
      </c>
      <c r="AL48" s="57">
        <v>0.24090277777777777</v>
      </c>
      <c r="AM48" s="57">
        <v>0.24390046296296297</v>
      </c>
      <c r="AN48" s="57">
        <v>0.2459837962962963</v>
      </c>
      <c r="AO48" s="49">
        <v>0.2377314814814815</v>
      </c>
      <c r="AP48" s="49">
        <v>0.2377314814814815</v>
      </c>
      <c r="AQ48" s="49">
        <v>0.23923611111111112</v>
      </c>
      <c r="AR48" s="57">
        <v>0.16494212962962962</v>
      </c>
      <c r="AS48" s="57">
        <v>0.16494212962962962</v>
      </c>
      <c r="AT48" s="57">
        <v>0.16850694444444445</v>
      </c>
      <c r="AU48" s="39"/>
      <c r="AV48" s="39"/>
      <c r="AW48" s="39"/>
      <c r="AX48" s="39"/>
    </row>
    <row r="49" spans="1:50" ht="13.5">
      <c r="A49" s="70" t="s">
        <v>2</v>
      </c>
      <c r="B49" s="21" t="s">
        <v>263</v>
      </c>
      <c r="C49" s="22" t="s">
        <v>266</v>
      </c>
      <c r="D49" s="23" t="s">
        <v>134</v>
      </c>
      <c r="E49" s="23" t="s">
        <v>267</v>
      </c>
      <c r="F49" s="24">
        <f t="shared" si="2"/>
        <v>0.004004629629629608</v>
      </c>
      <c r="G49" s="25">
        <f>(5-COUNT(V49,Y49,AB49,AE49,AH49))*'штрафы-карточка'!$B$4+(4-COUNT(AK49,AL49,AO49,AR49))*'штрафы-карточка'!$B$5+(7-COUNT(X49,AA49,AD49,AG49,AN49,AQ49,AT49))*'штрафы-карточка'!$B$3</f>
        <v>0</v>
      </c>
      <c r="H49" s="26">
        <f>VLOOKUP(D49,'штрафы-карточка'!$E$2:$L$300,2,FALSE)</f>
        <v>0</v>
      </c>
      <c r="I49" s="26">
        <f>VLOOKUP(D49,'штрафы-карточка'!$E$2:$L$300,3,FALSE)</f>
        <v>0</v>
      </c>
      <c r="J49" s="26">
        <f>VLOOKUP(D49,'штрафы-карточка'!$E$2:$L$300,4,FALSE)</f>
        <v>0</v>
      </c>
      <c r="K49" s="26">
        <f>VLOOKUP(D49,'штрафы-карточка'!$E$2:$L$300,5,FALSE)</f>
        <v>0</v>
      </c>
      <c r="L49" s="26">
        <f>VLOOKUP(D49,'штрафы-карточка'!$E$2:$L$300,6,FALSE)</f>
        <v>0</v>
      </c>
      <c r="M49" s="26">
        <f>VLOOKUP(D49,'штрафы-карточка'!$E$2:$L$300,7,FALSE)</f>
        <v>0</v>
      </c>
      <c r="N49" s="26">
        <f>VLOOKUP(D49,'штрафы-карточка'!$E$2:$L$300,8,FALSE)</f>
        <v>0</v>
      </c>
      <c r="O49" s="61">
        <f t="shared" si="3"/>
        <v>0.25910879629629635</v>
      </c>
      <c r="P49" s="49">
        <v>0.006377314814814815</v>
      </c>
      <c r="Q49" s="57">
        <v>0.1938425925925926</v>
      </c>
      <c r="R49" s="49">
        <v>0.09416666666666666</v>
      </c>
      <c r="S49" s="49">
        <v>0.1425462962962963</v>
      </c>
      <c r="T49" s="57">
        <v>0.07100694444444444</v>
      </c>
      <c r="U49" s="57">
        <v>0.09196759259259259</v>
      </c>
      <c r="V49" s="49">
        <v>0.15209490740740741</v>
      </c>
      <c r="W49" s="49">
        <v>0.154375</v>
      </c>
      <c r="X49" s="49">
        <v>0.1558101851851852</v>
      </c>
      <c r="Y49" s="57">
        <v>0.1702662037037037</v>
      </c>
      <c r="Z49" s="57">
        <v>0.1702662037037037</v>
      </c>
      <c r="AA49" s="57">
        <v>0.1723148148148148</v>
      </c>
      <c r="AB49" s="49">
        <v>0.05886574074074074</v>
      </c>
      <c r="AC49" s="49">
        <v>0.059363425925925924</v>
      </c>
      <c r="AD49" s="49">
        <v>0.06090277777777778</v>
      </c>
      <c r="AE49" s="57">
        <v>0.043020833333333335</v>
      </c>
      <c r="AF49" s="57">
        <v>0.043020833333333335</v>
      </c>
      <c r="AG49" s="57">
        <v>0.044189814814814814</v>
      </c>
      <c r="AH49" s="49">
        <v>0.0416666666666667</v>
      </c>
      <c r="AI49" s="57">
        <v>0.22028935185185183</v>
      </c>
      <c r="AJ49" s="57">
        <v>0.2237962962962963</v>
      </c>
      <c r="AK49" s="49">
        <v>0.21703703703703703</v>
      </c>
      <c r="AL49" s="57">
        <v>0.258587962962963</v>
      </c>
      <c r="AM49" s="57">
        <v>0.25981481481481483</v>
      </c>
      <c r="AN49" s="57">
        <v>0.2608564814814815</v>
      </c>
      <c r="AO49" s="49">
        <v>0.2561574074074074</v>
      </c>
      <c r="AP49" s="49">
        <v>0.2561574074074074</v>
      </c>
      <c r="AQ49" s="49">
        <v>0.2574189814814815</v>
      </c>
      <c r="AR49" s="57">
        <v>0.1863888888888889</v>
      </c>
      <c r="AS49" s="57">
        <v>0.1863888888888889</v>
      </c>
      <c r="AT49" s="57">
        <v>0.19092592592592594</v>
      </c>
      <c r="AU49" s="39"/>
      <c r="AV49" s="39"/>
      <c r="AW49" s="39"/>
      <c r="AX49" s="39"/>
    </row>
    <row r="50" spans="1:50" ht="13.5">
      <c r="A50" s="70" t="s">
        <v>3</v>
      </c>
      <c r="B50" s="21" t="s">
        <v>263</v>
      </c>
      <c r="C50" s="22" t="s">
        <v>268</v>
      </c>
      <c r="D50" s="23" t="s">
        <v>108</v>
      </c>
      <c r="E50" s="23" t="s">
        <v>269</v>
      </c>
      <c r="F50" s="24">
        <f t="shared" si="2"/>
        <v>0.0046990740740741055</v>
      </c>
      <c r="G50" s="25">
        <f>(5-COUNT(V50,Y50,AB50,AE50,AH50))*'штрафы-карточка'!$B$4+(4-COUNT(AK50,AL50,AO50,AR50))*'штрафы-карточка'!$B$5+(7-COUNT(X50,AA50,AD50,AG50,AN50,AQ50,AT50))*'штрафы-карточка'!$B$3</f>
        <v>0</v>
      </c>
      <c r="H50" s="26">
        <f>VLOOKUP(D50,'штрафы-карточка'!$E$2:$L$300,2,FALSE)</f>
        <v>0</v>
      </c>
      <c r="I50" s="26">
        <f>VLOOKUP(D50,'штрафы-карточка'!$E$2:$L$300,3,FALSE)</f>
        <v>0</v>
      </c>
      <c r="J50" s="26">
        <f>VLOOKUP(D50,'штрафы-карточка'!$E$2:$L$300,4,FALSE)</f>
        <v>0</v>
      </c>
      <c r="K50" s="26">
        <f>VLOOKUP(D50,'штрафы-карточка'!$E$2:$L$300,5,FALSE)</f>
        <v>0</v>
      </c>
      <c r="L50" s="26">
        <f>VLOOKUP(D50,'штрафы-карточка'!$E$2:$L$300,6,FALSE)</f>
        <v>0</v>
      </c>
      <c r="M50" s="26">
        <f>VLOOKUP(D50,'штрафы-карточка'!$E$2:$L$300,7,FALSE)</f>
        <v>0</v>
      </c>
      <c r="N50" s="26">
        <f>VLOOKUP(D50,'штрафы-карточка'!$E$2:$L$300,8,FALSE)</f>
        <v>0</v>
      </c>
      <c r="O50" s="61">
        <f t="shared" si="3"/>
        <v>0.28863425925925923</v>
      </c>
      <c r="P50" s="49">
        <v>0.00693287037037037</v>
      </c>
      <c r="Q50" s="57">
        <v>0.2169675925925926</v>
      </c>
      <c r="R50" s="49">
        <v>0.11813657407407407</v>
      </c>
      <c r="S50" s="49">
        <v>0.1596412037037037</v>
      </c>
      <c r="T50" s="57">
        <v>0.08903935185185186</v>
      </c>
      <c r="U50" s="57">
        <v>0.11574074074074074</v>
      </c>
      <c r="V50" s="49">
        <v>0.1744212962962963</v>
      </c>
      <c r="W50" s="49">
        <v>0.1744212962962963</v>
      </c>
      <c r="X50" s="49">
        <v>0.17524305555555555</v>
      </c>
      <c r="Y50" s="57">
        <v>0.06425925925925925</v>
      </c>
      <c r="Z50" s="57">
        <v>0.06585648148148149</v>
      </c>
      <c r="AA50" s="57">
        <v>0.0683912037037037</v>
      </c>
      <c r="AB50" s="49">
        <v>0.07261574074074074</v>
      </c>
      <c r="AC50" s="49">
        <v>0.07306712962962963</v>
      </c>
      <c r="AD50" s="49">
        <v>0.07447916666666667</v>
      </c>
      <c r="AE50" s="57">
        <v>0.04894675925925926</v>
      </c>
      <c r="AF50" s="57">
        <v>0.05159722222222222</v>
      </c>
      <c r="AG50" s="57">
        <v>0.05238425925925926</v>
      </c>
      <c r="AH50" s="49">
        <v>0.0416666666666667</v>
      </c>
      <c r="AI50" s="57">
        <v>0.2475925925925926</v>
      </c>
      <c r="AJ50" s="57">
        <v>0.251412037037037</v>
      </c>
      <c r="AK50" s="49">
        <v>0.2439351851851852</v>
      </c>
      <c r="AL50" s="57">
        <v>0.2891666666666666</v>
      </c>
      <c r="AM50" s="57">
        <v>0.2891666666666666</v>
      </c>
      <c r="AN50" s="57">
        <v>0.2907986111111111</v>
      </c>
      <c r="AO50" s="49">
        <v>0.2864699074074074</v>
      </c>
      <c r="AP50" s="49">
        <v>0.2864699074074074</v>
      </c>
      <c r="AQ50" s="49">
        <v>0.2876736111111111</v>
      </c>
      <c r="AR50" s="57">
        <v>0.21168981481481483</v>
      </c>
      <c r="AS50" s="57">
        <v>0.21168981481481483</v>
      </c>
      <c r="AT50" s="57">
        <v>0.2138888888888889</v>
      </c>
      <c r="AU50" s="39"/>
      <c r="AV50" s="39"/>
      <c r="AW50" s="39"/>
      <c r="AX50" s="39"/>
    </row>
    <row r="51" spans="1:50" ht="13.5">
      <c r="A51" s="23" t="s">
        <v>4</v>
      </c>
      <c r="B51" s="21" t="s">
        <v>263</v>
      </c>
      <c r="C51" s="22" t="s">
        <v>273</v>
      </c>
      <c r="D51" s="23" t="s">
        <v>117</v>
      </c>
      <c r="E51" s="23" t="s">
        <v>274</v>
      </c>
      <c r="F51" s="24">
        <f t="shared" si="2"/>
        <v>0.003622685185185215</v>
      </c>
      <c r="G51" s="25">
        <f>(5-COUNT(V51,Y51,AB51,AE51,AH51))*'штрафы-карточка'!$B$4+(4-COUNT(AK51,AL51,AO51,AR51))*'штрафы-карточка'!$B$5+(7-COUNT(X51,AA51,AD51,AG51,AN51,AQ51,AT51))*'штрафы-карточка'!$B$3</f>
        <v>0</v>
      </c>
      <c r="H51" s="26">
        <f>VLOOKUP(D51,'штрафы-карточка'!$E$2:$L$300,2,FALSE)</f>
        <v>0</v>
      </c>
      <c r="I51" s="26">
        <f>VLOOKUP(D51,'штрафы-карточка'!$E$2:$L$300,3,FALSE)</f>
        <v>0</v>
      </c>
      <c r="J51" s="26">
        <f>VLOOKUP(D51,'штрафы-карточка'!$E$2:$L$300,4,FALSE)</f>
        <v>0</v>
      </c>
      <c r="K51" s="26">
        <f>VLOOKUP(D51,'штрафы-карточка'!$E$2:$L$300,5,FALSE)</f>
        <v>0</v>
      </c>
      <c r="L51" s="26">
        <f>VLOOKUP(D51,'штрафы-карточка'!$E$2:$L$300,6,FALSE)</f>
        <v>0</v>
      </c>
      <c r="M51" s="26">
        <f>VLOOKUP(D51,'штрафы-карточка'!$E$2:$L$300,7,FALSE)</f>
        <v>0</v>
      </c>
      <c r="N51" s="26">
        <f>VLOOKUP(D51,'штрафы-карточка'!$E$2:$L$300,8,FALSE)</f>
        <v>0</v>
      </c>
      <c r="O51" s="61">
        <f t="shared" si="3"/>
        <v>0.31076388888888884</v>
      </c>
      <c r="P51" s="49">
        <v>0.006875</v>
      </c>
      <c r="Q51" s="57">
        <v>0.2291550925925926</v>
      </c>
      <c r="R51" s="49">
        <v>0.08100694444444444</v>
      </c>
      <c r="S51" s="49">
        <v>0.13837962962962963</v>
      </c>
      <c r="T51" s="57">
        <v>0.049097222222222216</v>
      </c>
      <c r="U51" s="57">
        <v>0.07770833333333334</v>
      </c>
      <c r="V51" s="49">
        <v>0.03894675925925926</v>
      </c>
      <c r="W51" s="49">
        <v>0.039594907407407405</v>
      </c>
      <c r="X51" s="49">
        <v>0.04082175925925926</v>
      </c>
      <c r="Y51" s="57">
        <v>0.020196759259259258</v>
      </c>
      <c r="Z51" s="57">
        <v>0.020196759259259258</v>
      </c>
      <c r="AA51" s="57">
        <v>0.020775462962962964</v>
      </c>
      <c r="AB51" s="49">
        <v>0.17107638888888888</v>
      </c>
      <c r="AC51" s="49">
        <v>0.17107638888888888</v>
      </c>
      <c r="AD51" s="49">
        <v>0.17196759259259262</v>
      </c>
      <c r="AE51" s="57">
        <v>0.1848263888888889</v>
      </c>
      <c r="AF51" s="57">
        <v>0.18780092592592593</v>
      </c>
      <c r="AG51" s="57">
        <v>0.18846064814814814</v>
      </c>
      <c r="AH51" s="49">
        <v>0.0416666666666667</v>
      </c>
      <c r="AI51" s="57">
        <v>0.2788657407407407</v>
      </c>
      <c r="AJ51" s="57">
        <v>0.28899305555555554</v>
      </c>
      <c r="AK51" s="49">
        <v>0.29398148148148145</v>
      </c>
      <c r="AL51" s="57">
        <v>0.23797453703703705</v>
      </c>
      <c r="AM51" s="57">
        <v>0.23797453703703705</v>
      </c>
      <c r="AN51" s="57">
        <v>0.2396527777777778</v>
      </c>
      <c r="AO51" s="49">
        <v>0.2500115740740741</v>
      </c>
      <c r="AP51" s="49">
        <v>0.2500115740740741</v>
      </c>
      <c r="AQ51" s="49">
        <v>0.25125</v>
      </c>
      <c r="AR51" s="57">
        <v>0.2255787037037037</v>
      </c>
      <c r="AS51" s="57">
        <v>0.2255787037037037</v>
      </c>
      <c r="AT51" s="57">
        <v>0.2271527777777778</v>
      </c>
      <c r="AU51" s="39"/>
      <c r="AV51" s="39"/>
      <c r="AW51" s="39"/>
      <c r="AX51" s="39"/>
    </row>
    <row r="52" spans="1:50" ht="13.5">
      <c r="A52" s="23" t="s">
        <v>5</v>
      </c>
      <c r="B52" s="21" t="s">
        <v>263</v>
      </c>
      <c r="C52" s="22" t="s">
        <v>280</v>
      </c>
      <c r="D52" s="23" t="s">
        <v>114</v>
      </c>
      <c r="E52" s="23" t="s">
        <v>281</v>
      </c>
      <c r="F52" s="24">
        <f t="shared" si="2"/>
        <v>0.008634259259259286</v>
      </c>
      <c r="G52" s="25">
        <f>(5-COUNT(V52,Y52,AB52,AE52,AH52))*'штрафы-карточка'!$B$4+(4-COUNT(AK52,AL52,AO52,AR52))*'штрафы-карточка'!$B$5+(7-COUNT(X52,AA52,AD52,AG52,AN52,AQ52,AT52))*'штрафы-карточка'!$B$3</f>
        <v>0</v>
      </c>
      <c r="H52" s="26">
        <f>VLOOKUP(D52,'штрафы-карточка'!$E$2:$L$300,2,FALSE)</f>
        <v>0</v>
      </c>
      <c r="I52" s="26">
        <f>VLOOKUP(D52,'штрафы-карточка'!$E$2:$L$300,3,FALSE)</f>
        <v>0</v>
      </c>
      <c r="J52" s="26">
        <f>VLOOKUP(D52,'штрафы-карточка'!$E$2:$L$300,4,FALSE)</f>
        <v>0</v>
      </c>
      <c r="K52" s="26">
        <f>VLOOKUP(D52,'штрафы-карточка'!$E$2:$L$300,5,FALSE)</f>
        <v>0</v>
      </c>
      <c r="L52" s="26">
        <f>VLOOKUP(D52,'штрафы-карточка'!$E$2:$L$300,6,FALSE)</f>
        <v>0</v>
      </c>
      <c r="M52" s="26">
        <f>VLOOKUP(D52,'штрафы-карточка'!$E$2:$L$300,7,FALSE)</f>
        <v>0</v>
      </c>
      <c r="N52" s="26">
        <f>VLOOKUP(D52,'штрафы-карточка'!$E$2:$L$300,8,FALSE)</f>
        <v>0</v>
      </c>
      <c r="O52" s="61">
        <f t="shared" si="3"/>
        <v>0.33116898148148144</v>
      </c>
      <c r="P52" s="49">
        <v>0.007349537037037037</v>
      </c>
      <c r="Q52" s="57">
        <v>0.2517013888888889</v>
      </c>
      <c r="R52" s="49">
        <v>0.05484953703703704</v>
      </c>
      <c r="S52" s="49">
        <v>0.12011574074074073</v>
      </c>
      <c r="T52" s="57">
        <v>0.12336805555555556</v>
      </c>
      <c r="U52" s="57">
        <v>0.14671296296296296</v>
      </c>
      <c r="V52" s="49">
        <v>0.043159722222222224</v>
      </c>
      <c r="W52" s="49">
        <v>0.04491898148148148</v>
      </c>
      <c r="X52" s="49">
        <v>0.046099537037037036</v>
      </c>
      <c r="Y52" s="57">
        <v>0.020520833333333332</v>
      </c>
      <c r="Z52" s="57">
        <v>0.024502314814814814</v>
      </c>
      <c r="AA52" s="57">
        <v>0.028877314814814817</v>
      </c>
      <c r="AB52" s="49">
        <v>0.16020833333333334</v>
      </c>
      <c r="AC52" s="49">
        <v>0.16020833333333334</v>
      </c>
      <c r="AD52" s="49">
        <v>0.16164351851851852</v>
      </c>
      <c r="AE52" s="57">
        <v>0.18702546296296296</v>
      </c>
      <c r="AF52" s="57">
        <v>0.18886574074074072</v>
      </c>
      <c r="AG52" s="57">
        <v>0.18989583333333335</v>
      </c>
      <c r="AH52" s="49">
        <v>0.0416666666666667</v>
      </c>
      <c r="AI52" s="57">
        <v>0.27869212962962964</v>
      </c>
      <c r="AJ52" s="57">
        <v>0.28837962962962965</v>
      </c>
      <c r="AK52" s="49">
        <v>0.2749537037037037</v>
      </c>
      <c r="AL52" s="57">
        <v>0.31918981481481484</v>
      </c>
      <c r="AM52" s="57">
        <v>0.31918981481481484</v>
      </c>
      <c r="AN52" s="57">
        <v>0.3214699074074074</v>
      </c>
      <c r="AO52" s="49">
        <v>0.3340625</v>
      </c>
      <c r="AP52" s="49">
        <v>0.33511574074074074</v>
      </c>
      <c r="AQ52" s="49">
        <v>0.3364930555555556</v>
      </c>
      <c r="AR52" s="57">
        <v>0.24609953703703705</v>
      </c>
      <c r="AS52" s="57">
        <v>0.24609953703703705</v>
      </c>
      <c r="AT52" s="57">
        <v>0.24920138888888888</v>
      </c>
      <c r="AU52" s="39"/>
      <c r="AV52" s="39"/>
      <c r="AW52" s="39"/>
      <c r="AX52" s="39"/>
    </row>
    <row r="53" spans="1:50" ht="13.5">
      <c r="A53" s="23" t="s">
        <v>6</v>
      </c>
      <c r="B53" s="21" t="s">
        <v>263</v>
      </c>
      <c r="C53" s="22" t="s">
        <v>288</v>
      </c>
      <c r="D53" s="23" t="s">
        <v>106</v>
      </c>
      <c r="E53" s="23" t="s">
        <v>289</v>
      </c>
      <c r="F53" s="24">
        <f t="shared" si="2"/>
        <v>0.022592592592592553</v>
      </c>
      <c r="G53" s="25">
        <f>(5-COUNT(V53,Y53,AB53,AE53,AH53))*'штрафы-карточка'!$B$4+(4-COUNT(AK53,AL53,AO53,AR53))*'штрафы-карточка'!$B$5+(7-COUNT(X53,AA53,AD53,AG53,AN53,AQ53,AT53))*'штрафы-карточка'!$B$3</f>
        <v>0</v>
      </c>
      <c r="H53" s="26">
        <f>VLOOKUP(D53,'штрафы-карточка'!$E$2:$L$300,2,FALSE)</f>
        <v>0</v>
      </c>
      <c r="I53" s="26">
        <f>VLOOKUP(D53,'штрафы-карточка'!$E$2:$L$300,3,FALSE)</f>
        <v>0</v>
      </c>
      <c r="J53" s="26">
        <f>VLOOKUP(D53,'штрафы-карточка'!$E$2:$L$300,4,FALSE)</f>
        <v>0</v>
      </c>
      <c r="K53" s="26">
        <f>VLOOKUP(D53,'штрафы-карточка'!$E$2:$L$300,5,FALSE)</f>
        <v>0</v>
      </c>
      <c r="L53" s="26">
        <f>VLOOKUP(D53,'штрафы-карточка'!$E$2:$L$300,6,FALSE)</f>
        <v>0</v>
      </c>
      <c r="M53" s="26">
        <f>VLOOKUP(D53,'штрафы-карточка'!$E$2:$L$300,7,FALSE)</f>
        <v>0</v>
      </c>
      <c r="N53" s="26">
        <f>VLOOKUP(D53,'штрафы-карточка'!$E$2:$L$300,8,FALSE)</f>
        <v>0</v>
      </c>
      <c r="O53" s="61">
        <f t="shared" si="3"/>
        <v>0.3489351851851852</v>
      </c>
      <c r="P53" s="49">
        <v>0.007071759259259259</v>
      </c>
      <c r="Q53" s="57">
        <v>0.2761805555555556</v>
      </c>
      <c r="R53" s="49">
        <v>0.12212962962962963</v>
      </c>
      <c r="S53" s="49">
        <v>0.18453703703703705</v>
      </c>
      <c r="T53" s="57">
        <v>0.18480324074074073</v>
      </c>
      <c r="U53" s="57">
        <v>0.2131712962962963</v>
      </c>
      <c r="V53" s="49">
        <v>0.23305555555555557</v>
      </c>
      <c r="W53" s="49">
        <v>0.23471064814814815</v>
      </c>
      <c r="X53" s="49">
        <v>0.23614583333333336</v>
      </c>
      <c r="Y53" s="57">
        <v>0.09371527777777777</v>
      </c>
      <c r="Z53" s="57">
        <v>0.09476851851851852</v>
      </c>
      <c r="AA53" s="57">
        <v>0.09766203703703703</v>
      </c>
      <c r="AB53" s="49">
        <v>0.1076388888888889</v>
      </c>
      <c r="AC53" s="49">
        <v>0.1076388888888889</v>
      </c>
      <c r="AD53" s="49">
        <v>0.10957175925925926</v>
      </c>
      <c r="AE53" s="57">
        <v>0.05978009259259259</v>
      </c>
      <c r="AF53" s="57">
        <v>0.07966435185185185</v>
      </c>
      <c r="AG53" s="57">
        <v>0.08141203703703703</v>
      </c>
      <c r="AH53" s="49">
        <v>0.0416666666666667</v>
      </c>
      <c r="AI53" s="57">
        <v>0.33153935185185185</v>
      </c>
      <c r="AJ53" s="57">
        <v>0.33758101851851857</v>
      </c>
      <c r="AK53" s="49">
        <v>0.34260416666666665</v>
      </c>
      <c r="AL53" s="57">
        <v>0.28400462962962963</v>
      </c>
      <c r="AM53" s="57">
        <v>0.28400462962962963</v>
      </c>
      <c r="AN53" s="57">
        <v>0.2856134259259259</v>
      </c>
      <c r="AO53" s="49">
        <v>0.303125</v>
      </c>
      <c r="AP53" s="49">
        <v>0.303125</v>
      </c>
      <c r="AQ53" s="49">
        <v>0.30471064814814813</v>
      </c>
      <c r="AR53" s="57">
        <v>0.26613425925925926</v>
      </c>
      <c r="AS53" s="57">
        <v>0.26613425925925926</v>
      </c>
      <c r="AT53" s="57">
        <v>0.2722569444444444</v>
      </c>
      <c r="AU53" s="39"/>
      <c r="AV53" s="39"/>
      <c r="AW53" s="39"/>
      <c r="AX53" s="39"/>
    </row>
    <row r="54" spans="1:50" ht="13.5">
      <c r="A54" s="23" t="s">
        <v>7</v>
      </c>
      <c r="B54" s="21" t="s">
        <v>263</v>
      </c>
      <c r="C54" s="22" t="s">
        <v>290</v>
      </c>
      <c r="D54" s="23" t="s">
        <v>124</v>
      </c>
      <c r="E54" s="23" t="s">
        <v>291</v>
      </c>
      <c r="F54" s="24">
        <f t="shared" si="2"/>
        <v>0.00891203703703708</v>
      </c>
      <c r="G54" s="25">
        <f>(5-COUNT(V54,Y54,AB54,AE54,AH54))*'штрафы-карточка'!$B$4+(4-COUNT(AK54,AL54,AO54,AR54))*'штрафы-карточка'!$B$5+(7-COUNT(X54,AA54,AD54,AG54,AN54,AQ54,AT54))*'штрафы-карточка'!$B$3</f>
        <v>0</v>
      </c>
      <c r="H54" s="26">
        <f>VLOOKUP(D54,'штрафы-карточка'!$E$2:$L$300,2,FALSE)</f>
        <v>0</v>
      </c>
      <c r="I54" s="26">
        <f>VLOOKUP(D54,'штрафы-карточка'!$E$2:$L$300,3,FALSE)</f>
        <v>0</v>
      </c>
      <c r="J54" s="26">
        <f>VLOOKUP(D54,'штрафы-карточка'!$E$2:$L$300,4,FALSE)</f>
        <v>0</v>
      </c>
      <c r="K54" s="26">
        <f>VLOOKUP(D54,'штрафы-карточка'!$E$2:$L$300,5,FALSE)</f>
        <v>0</v>
      </c>
      <c r="L54" s="26">
        <f>VLOOKUP(D54,'штрафы-карточка'!$E$2:$L$300,6,FALSE)</f>
        <v>0</v>
      </c>
      <c r="M54" s="26">
        <f>VLOOKUP(D54,'штрафы-карточка'!$E$2:$L$300,7,FALSE)</f>
        <v>0</v>
      </c>
      <c r="N54" s="26">
        <f>VLOOKUP(D54,'штрафы-карточка'!$E$2:$L$300,8,FALSE)</f>
        <v>0</v>
      </c>
      <c r="O54" s="61">
        <f t="shared" si="3"/>
        <v>0.3579629629629629</v>
      </c>
      <c r="P54" s="49">
        <v>0.007118055555555555</v>
      </c>
      <c r="Q54" s="57">
        <v>0.2680439814814815</v>
      </c>
      <c r="R54" s="49">
        <v>0.08903935185185186</v>
      </c>
      <c r="S54" s="49">
        <v>0.16730324074074074</v>
      </c>
      <c r="T54" s="57">
        <v>0.06268518518518519</v>
      </c>
      <c r="U54" s="57">
        <v>0.08699074074074074</v>
      </c>
      <c r="V54" s="49">
        <v>0.04454861111111111</v>
      </c>
      <c r="W54" s="49">
        <v>0.0493287037037037</v>
      </c>
      <c r="X54" s="49">
        <v>0.05061342592592593</v>
      </c>
      <c r="Y54" s="57">
        <v>0.020613425925925927</v>
      </c>
      <c r="Z54" s="57">
        <v>0.024745370370370372</v>
      </c>
      <c r="AA54" s="57">
        <v>0.026712962962962966</v>
      </c>
      <c r="AB54" s="49">
        <v>0.18324074074074073</v>
      </c>
      <c r="AC54" s="49">
        <v>0.18324074074074073</v>
      </c>
      <c r="AD54" s="49">
        <v>0.1847337962962963</v>
      </c>
      <c r="AE54" s="57">
        <v>0.20288194444444443</v>
      </c>
      <c r="AF54" s="57">
        <v>0.20288194444444443</v>
      </c>
      <c r="AG54" s="57">
        <v>0.20577546296296298</v>
      </c>
      <c r="AH54" s="49">
        <v>0.0416666666666667</v>
      </c>
      <c r="AI54" s="57">
        <v>0.33123842592592595</v>
      </c>
      <c r="AJ54" s="57">
        <v>0.3403819444444445</v>
      </c>
      <c r="AK54" s="49">
        <v>0.34473379629629625</v>
      </c>
      <c r="AL54" s="57">
        <v>0.27439814814814817</v>
      </c>
      <c r="AM54" s="57">
        <v>0.27439814814814817</v>
      </c>
      <c r="AN54" s="57">
        <v>0.2755902777777778</v>
      </c>
      <c r="AO54" s="49">
        <v>0.29128472222222224</v>
      </c>
      <c r="AP54" s="49">
        <v>0.29128472222222224</v>
      </c>
      <c r="AQ54" s="49">
        <v>0.29256944444444444</v>
      </c>
      <c r="AR54" s="57">
        <v>0.2672800925925926</v>
      </c>
      <c r="AS54" s="57">
        <v>0.2672800925925926</v>
      </c>
      <c r="AT54" s="67">
        <v>0.2715856481481482</v>
      </c>
      <c r="AU54" s="39"/>
      <c r="AV54" s="39"/>
      <c r="AW54" s="39"/>
      <c r="AX54" s="39"/>
    </row>
    <row r="55" spans="1:50" ht="13.5">
      <c r="A55" s="23" t="s">
        <v>8</v>
      </c>
      <c r="B55" s="21" t="s">
        <v>263</v>
      </c>
      <c r="C55" s="22" t="s">
        <v>292</v>
      </c>
      <c r="D55" s="23" t="s">
        <v>130</v>
      </c>
      <c r="E55" s="23" t="s">
        <v>293</v>
      </c>
      <c r="F55" s="24">
        <f t="shared" si="2"/>
        <v>0.010810185185185228</v>
      </c>
      <c r="G55" s="25">
        <f>(5-COUNT(V55,Y55,AB55,AE55,AH55))*'штрафы-карточка'!$B$4+(4-COUNT(AK55,AL55,AO55,AR55))*'штрафы-карточка'!$B$5+(7-COUNT(X55,AA55,AD55,AG55,AN55,AQ55,AT55))*'штрафы-карточка'!$B$3</f>
        <v>0</v>
      </c>
      <c r="H55" s="26">
        <f>VLOOKUP(D55,'штрафы-карточка'!$E$2:$L$300,2,FALSE)</f>
        <v>0</v>
      </c>
      <c r="I55" s="26">
        <f>VLOOKUP(D55,'штрафы-карточка'!$E$2:$L$300,3,FALSE)</f>
        <v>0</v>
      </c>
      <c r="J55" s="26">
        <f>VLOOKUP(D55,'штрафы-карточка'!$E$2:$L$300,4,FALSE)</f>
        <v>0</v>
      </c>
      <c r="K55" s="26">
        <f>VLOOKUP(D55,'штрафы-карточка'!$E$2:$L$300,5,FALSE)</f>
        <v>0</v>
      </c>
      <c r="L55" s="26">
        <f>VLOOKUP(D55,'штрафы-карточка'!$E$2:$L$300,6,FALSE)</f>
        <v>0</v>
      </c>
      <c r="M55" s="26">
        <f>VLOOKUP(D55,'штрафы-карточка'!$E$2:$L$300,7,FALSE)</f>
        <v>0</v>
      </c>
      <c r="N55" s="26">
        <f>VLOOKUP(D55,'штрафы-карточка'!$E$2:$L$300,8,FALSE)</f>
        <v>0</v>
      </c>
      <c r="O55" s="61">
        <f t="shared" si="3"/>
        <v>0.36719907407407404</v>
      </c>
      <c r="P55" s="49">
        <v>0.010474537037037037</v>
      </c>
      <c r="Q55" s="57">
        <v>0.2811458333333334</v>
      </c>
      <c r="R55" s="49">
        <v>0.10761574074074075</v>
      </c>
      <c r="S55" s="49">
        <v>0.18412037037037035</v>
      </c>
      <c r="T55" s="57">
        <v>0.21703703703703703</v>
      </c>
      <c r="U55" s="57"/>
      <c r="V55" s="49">
        <v>0.23855324074074072</v>
      </c>
      <c r="W55" s="49">
        <v>0.23855324074074072</v>
      </c>
      <c r="X55" s="49">
        <v>0.23981481481481481</v>
      </c>
      <c r="Y55" s="57">
        <v>0.0752662037037037</v>
      </c>
      <c r="Z55" s="57">
        <v>0.07731481481481482</v>
      </c>
      <c r="AA55" s="57">
        <v>0.08292824074074073</v>
      </c>
      <c r="AB55" s="49">
        <v>0.08780092592592592</v>
      </c>
      <c r="AC55" s="49">
        <v>0.08780092592592592</v>
      </c>
      <c r="AD55" s="49">
        <v>0.08923611111111111</v>
      </c>
      <c r="AE55" s="57">
        <v>0.05368055555555556</v>
      </c>
      <c r="AF55" s="57">
        <v>0.06244212962962963</v>
      </c>
      <c r="AG55" s="57">
        <v>0.06340277777777778</v>
      </c>
      <c r="AH55" s="49">
        <v>0.0416666666666667</v>
      </c>
      <c r="AI55" s="57">
        <v>0.3484143518518519</v>
      </c>
      <c r="AJ55" s="57">
        <v>0.3540856481481482</v>
      </c>
      <c r="AK55" s="49">
        <v>0.3581018518518519</v>
      </c>
      <c r="AL55" s="57">
        <v>0.28878472222222223</v>
      </c>
      <c r="AM55" s="57">
        <v>0.28878472222222223</v>
      </c>
      <c r="AN55" s="57">
        <v>0.2906597222222222</v>
      </c>
      <c r="AO55" s="49">
        <v>0.3041319444444444</v>
      </c>
      <c r="AP55" s="49">
        <v>0.3041319444444444</v>
      </c>
      <c r="AQ55" s="49">
        <v>0.30615740740740743</v>
      </c>
      <c r="AR55" s="57">
        <v>0.275474537037037</v>
      </c>
      <c r="AS55" s="57">
        <v>0.275474537037037</v>
      </c>
      <c r="AT55" s="57">
        <v>0.2786226851851852</v>
      </c>
      <c r="AU55" s="39"/>
      <c r="AV55" s="39"/>
      <c r="AW55" s="39"/>
      <c r="AX55" s="39"/>
    </row>
    <row r="56" spans="1:50" ht="13.5">
      <c r="A56" s="23" t="s">
        <v>9</v>
      </c>
      <c r="B56" s="21" t="s">
        <v>263</v>
      </c>
      <c r="C56" s="22" t="s">
        <v>294</v>
      </c>
      <c r="D56" s="23" t="s">
        <v>122</v>
      </c>
      <c r="E56" s="23" t="s">
        <v>295</v>
      </c>
      <c r="F56" s="24">
        <f t="shared" si="2"/>
        <v>0.03660879629629632</v>
      </c>
      <c r="G56" s="25">
        <f>(5-COUNT(V56,Y56,AB56,AE56,AH56))*'штрафы-карточка'!$B$4+(4-COUNT(AK56,AL56,AO56,AR56))*'штрафы-карточка'!$B$5+(7-COUNT(X56,AA56,AD56,AG56,AN56,AQ56,AT56))*'штрафы-карточка'!$B$3</f>
        <v>0</v>
      </c>
      <c r="H56" s="26">
        <f>VLOOKUP(D56,'штрафы-карточка'!$E$2:$L$300,2,FALSE)</f>
        <v>0</v>
      </c>
      <c r="I56" s="26">
        <f>VLOOKUP(D56,'штрафы-карточка'!$E$2:$L$300,3,FALSE)</f>
        <v>0</v>
      </c>
      <c r="J56" s="26">
        <f>VLOOKUP(D56,'штрафы-карточка'!$E$2:$L$300,4,FALSE)</f>
        <v>0</v>
      </c>
      <c r="K56" s="26">
        <f>VLOOKUP(D56,'штрафы-карточка'!$E$2:$L$300,5,FALSE)</f>
        <v>0</v>
      </c>
      <c r="L56" s="26">
        <f>VLOOKUP(D56,'штрафы-карточка'!$E$2:$L$300,6,FALSE)</f>
        <v>0</v>
      </c>
      <c r="M56" s="26">
        <f>VLOOKUP(D56,'штрафы-карточка'!$E$2:$L$300,7,FALSE)</f>
        <v>0</v>
      </c>
      <c r="N56" s="26">
        <f>VLOOKUP(D56,'штрафы-карточка'!$E$2:$L$300,8,FALSE)</f>
        <v>0</v>
      </c>
      <c r="O56" s="61">
        <f t="shared" si="3"/>
        <v>0.37100694444444443</v>
      </c>
      <c r="P56" s="49">
        <v>0.007673611111111111</v>
      </c>
      <c r="Q56" s="57">
        <v>0.3090972222222222</v>
      </c>
      <c r="R56" s="49">
        <v>0.19767361111111112</v>
      </c>
      <c r="S56" s="49">
        <v>0.2687847222222222</v>
      </c>
      <c r="T56" s="57">
        <v>0.17008101851851853</v>
      </c>
      <c r="U56" s="57">
        <v>0.19528935185185184</v>
      </c>
      <c r="V56" s="49">
        <v>0.15108796296296298</v>
      </c>
      <c r="W56" s="49">
        <v>0.15108796296296298</v>
      </c>
      <c r="X56" s="49">
        <v>0.1541435185185185</v>
      </c>
      <c r="Y56" s="57">
        <v>0.12123842592592593</v>
      </c>
      <c r="Z56" s="57">
        <v>0.12123842592592593</v>
      </c>
      <c r="AA56" s="57">
        <v>0.12402777777777778</v>
      </c>
      <c r="AB56" s="49">
        <v>0.28392361111111114</v>
      </c>
      <c r="AC56" s="49">
        <v>0.28392361111111114</v>
      </c>
      <c r="AD56" s="49">
        <v>0.28554398148148147</v>
      </c>
      <c r="AE56" s="57">
        <v>0.06501157407407408</v>
      </c>
      <c r="AF56" s="57">
        <v>0.10162037037037037</v>
      </c>
      <c r="AG56" s="57">
        <v>0.10430555555555555</v>
      </c>
      <c r="AH56" s="49">
        <v>0.0416666666666667</v>
      </c>
      <c r="AI56" s="57">
        <v>0.3718171296296296</v>
      </c>
      <c r="AJ56" s="57">
        <v>0.37853009259259257</v>
      </c>
      <c r="AK56" s="49">
        <v>0.3825</v>
      </c>
      <c r="AL56" s="57">
        <v>0.31980324074074074</v>
      </c>
      <c r="AM56" s="57">
        <v>0.31980324074074074</v>
      </c>
      <c r="AN56" s="57">
        <v>0.32115740740740745</v>
      </c>
      <c r="AO56" s="49">
        <v>0.3337962962962963</v>
      </c>
      <c r="AP56" s="49">
        <v>0.3337962962962963</v>
      </c>
      <c r="AQ56" s="49">
        <v>0.3349768518518519</v>
      </c>
      <c r="AR56" s="57">
        <v>0.2996990740740741</v>
      </c>
      <c r="AS56" s="57">
        <v>0.2996990740740741</v>
      </c>
      <c r="AT56" s="57">
        <v>0.3059375</v>
      </c>
      <c r="AU56" s="39"/>
      <c r="AV56" s="39"/>
      <c r="AW56" s="39"/>
      <c r="AX56" s="39"/>
    </row>
    <row r="57" spans="1:50" ht="13.5">
      <c r="A57" s="23" t="s">
        <v>10</v>
      </c>
      <c r="B57" s="21" t="s">
        <v>263</v>
      </c>
      <c r="C57" s="22" t="s">
        <v>296</v>
      </c>
      <c r="D57" s="23" t="s">
        <v>133</v>
      </c>
      <c r="E57" s="23" t="s">
        <v>297</v>
      </c>
      <c r="F57" s="24">
        <f t="shared" si="2"/>
        <v>0.006539351851851893</v>
      </c>
      <c r="G57" s="25">
        <f>(5-COUNT(V57,Y57,AB57,AE57,AH57))*'штрафы-карточка'!$B$4+(4-COUNT(AK57,AL57,AO57,AR57))*'штрафы-карточка'!$B$5+(7-COUNT(X57,AA57,AD57,AG57,AN57,AQ57,AT57))*'штрафы-карточка'!$B$3</f>
        <v>0</v>
      </c>
      <c r="H57" s="26">
        <f>VLOOKUP(D57,'штрафы-карточка'!$E$2:$L$300,2,FALSE)</f>
        <v>0</v>
      </c>
      <c r="I57" s="26">
        <f>VLOOKUP(D57,'штрафы-карточка'!$E$2:$L$300,3,FALSE)</f>
        <v>0</v>
      </c>
      <c r="J57" s="26">
        <f>VLOOKUP(D57,'штрафы-карточка'!$E$2:$L$300,4,FALSE)</f>
        <v>0</v>
      </c>
      <c r="K57" s="26">
        <f>VLOOKUP(D57,'штрафы-карточка'!$E$2:$L$300,5,FALSE)</f>
        <v>0</v>
      </c>
      <c r="L57" s="26">
        <f>VLOOKUP(D57,'штрафы-карточка'!$E$2:$L$300,6,FALSE)</f>
        <v>0</v>
      </c>
      <c r="M57" s="26">
        <f>VLOOKUP(D57,'штрафы-карточка'!$E$2:$L$300,7,FALSE)</f>
        <v>0</v>
      </c>
      <c r="N57" s="26">
        <f>VLOOKUP(D57,'штрафы-карточка'!$E$2:$L$300,8,FALSE)</f>
        <v>0</v>
      </c>
      <c r="O57" s="61">
        <f t="shared" si="3"/>
        <v>0.3716898148148148</v>
      </c>
      <c r="P57" s="49">
        <v>0.0067476851851851856</v>
      </c>
      <c r="Q57" s="57">
        <v>0.26784722222222224</v>
      </c>
      <c r="R57" s="49">
        <v>0.11547453703703703</v>
      </c>
      <c r="S57" s="49">
        <v>0.18840277777777778</v>
      </c>
      <c r="T57" s="57">
        <v>0.08506944444444443</v>
      </c>
      <c r="U57" s="57">
        <v>0.11084490740740742</v>
      </c>
      <c r="V57" s="49">
        <v>0.21116898148148147</v>
      </c>
      <c r="W57" s="49">
        <v>0.21238425925925927</v>
      </c>
      <c r="X57" s="49">
        <v>0.21373842592592593</v>
      </c>
      <c r="Y57" s="57">
        <v>0.23434027777777777</v>
      </c>
      <c r="Z57" s="57">
        <v>0.23555555555555555</v>
      </c>
      <c r="AA57" s="57">
        <v>0.24180555555555558</v>
      </c>
      <c r="AB57" s="49">
        <v>0.06940972222222223</v>
      </c>
      <c r="AC57" s="49">
        <v>0.06940972222222223</v>
      </c>
      <c r="AD57" s="49">
        <v>0.07215277777777777</v>
      </c>
      <c r="AE57" s="57">
        <v>0.05096064814814815</v>
      </c>
      <c r="AF57" s="57">
        <v>0.05454861111111111</v>
      </c>
      <c r="AG57" s="57">
        <v>0.05564814814814815</v>
      </c>
      <c r="AH57" s="49">
        <v>0.0416666666666667</v>
      </c>
      <c r="AI57" s="57">
        <v>0.34393518518518523</v>
      </c>
      <c r="AJ57" s="57">
        <v>0.35001157407407407</v>
      </c>
      <c r="AK57" s="49">
        <v>0.3546064814814815</v>
      </c>
      <c r="AL57" s="57">
        <v>0.27849537037037037</v>
      </c>
      <c r="AM57" s="57">
        <v>0.27849537037037037</v>
      </c>
      <c r="AN57" s="57">
        <v>0.2808333333333333</v>
      </c>
      <c r="AO57" s="49">
        <v>0.2914699074074074</v>
      </c>
      <c r="AP57" s="49">
        <v>0.2919907407407408</v>
      </c>
      <c r="AQ57" s="49">
        <v>0.30052083333333335</v>
      </c>
      <c r="AR57" s="57">
        <v>0.25841435185185185</v>
      </c>
      <c r="AS57" s="57">
        <v>0.25841435185185185</v>
      </c>
      <c r="AT57" s="57">
        <v>0.26381944444444444</v>
      </c>
      <c r="AU57" s="39"/>
      <c r="AV57" s="39"/>
      <c r="AW57" s="42">
        <v>0.298912037037037</v>
      </c>
      <c r="AX57" s="39"/>
    </row>
    <row r="58" spans="1:50" ht="13.5">
      <c r="A58" s="23" t="s">
        <v>11</v>
      </c>
      <c r="B58" s="21" t="s">
        <v>263</v>
      </c>
      <c r="C58" s="22" t="s">
        <v>298</v>
      </c>
      <c r="D58" s="23" t="s">
        <v>131</v>
      </c>
      <c r="E58" s="23" t="s">
        <v>299</v>
      </c>
      <c r="F58" s="24">
        <f t="shared" si="2"/>
        <v>0.01143518518518516</v>
      </c>
      <c r="G58" s="25">
        <f>(5-COUNT(V58,Y58,AB58,AE58,AH58))*'штрафы-карточка'!$B$4+(4-COUNT(AK58,AL58,AO58,AR58))*'штрафы-карточка'!$B$5+(7-COUNT(X58,AA58,AD58,AG58,AN58,AQ58,AT58))*'штрафы-карточка'!$B$3</f>
        <v>0</v>
      </c>
      <c r="H58" s="26">
        <f>VLOOKUP(D58,'штрафы-карточка'!$E$2:$L$300,2,FALSE)</f>
        <v>0</v>
      </c>
      <c r="I58" s="26">
        <f>VLOOKUP(D58,'штрафы-карточка'!$E$2:$L$300,3,FALSE)</f>
        <v>0</v>
      </c>
      <c r="J58" s="26">
        <f>VLOOKUP(D58,'штрафы-карточка'!$E$2:$L$300,4,FALSE)</f>
        <v>0</v>
      </c>
      <c r="K58" s="26">
        <f>VLOOKUP(D58,'штрафы-карточка'!$E$2:$L$300,5,FALSE)</f>
        <v>0</v>
      </c>
      <c r="L58" s="26">
        <f>VLOOKUP(D58,'штрафы-карточка'!$E$2:$L$300,6,FALSE)</f>
        <v>0</v>
      </c>
      <c r="M58" s="26">
        <f>VLOOKUP(D58,'штрафы-карточка'!$E$2:$L$300,7,FALSE)</f>
        <v>0</v>
      </c>
      <c r="N58" s="26">
        <f>VLOOKUP(D58,'штрафы-карточка'!$E$2:$L$300,8,FALSE)</f>
        <v>0</v>
      </c>
      <c r="O58" s="61">
        <f t="shared" si="3"/>
        <v>0.3786111111111111</v>
      </c>
      <c r="P58" s="49">
        <v>0.00800925925925926</v>
      </c>
      <c r="Q58" s="57">
        <v>0.28056712962962965</v>
      </c>
      <c r="R58" s="49">
        <v>0.10158564814814815</v>
      </c>
      <c r="S58" s="49">
        <v>0.17162037037037037</v>
      </c>
      <c r="T58" s="57">
        <v>0.21574074074074076</v>
      </c>
      <c r="U58" s="57"/>
      <c r="V58" s="49">
        <v>0.24012731481481484</v>
      </c>
      <c r="W58" s="49">
        <v>0.24153935185185185</v>
      </c>
      <c r="X58" s="49">
        <v>0.24318287037037037</v>
      </c>
      <c r="Y58" s="57">
        <v>0.07320601851851852</v>
      </c>
      <c r="Z58" s="57">
        <v>0.07444444444444444</v>
      </c>
      <c r="AA58" s="57">
        <v>0.07642361111111111</v>
      </c>
      <c r="AB58" s="49">
        <v>0.0835763888888889</v>
      </c>
      <c r="AC58" s="49">
        <v>0.0835763888888889</v>
      </c>
      <c r="AD58" s="49">
        <v>0.08598379629629631</v>
      </c>
      <c r="AE58" s="57">
        <v>0.052488425925925924</v>
      </c>
      <c r="AF58" s="57">
        <v>0.06050925925925926</v>
      </c>
      <c r="AG58" s="57">
        <v>0.061782407407407404</v>
      </c>
      <c r="AH58" s="49">
        <v>0.0416666666666667</v>
      </c>
      <c r="AI58" s="57">
        <v>0.34598379629629633</v>
      </c>
      <c r="AJ58" s="57">
        <v>0.3547800925925926</v>
      </c>
      <c r="AK58" s="49">
        <v>0.35975694444444445</v>
      </c>
      <c r="AL58" s="57">
        <v>0.29179398148148145</v>
      </c>
      <c r="AM58" s="57">
        <v>0.29179398148148145</v>
      </c>
      <c r="AN58" s="57">
        <v>0.29416666666666663</v>
      </c>
      <c r="AO58" s="49">
        <v>0.30725694444444446</v>
      </c>
      <c r="AP58" s="49">
        <v>0.30802083333333335</v>
      </c>
      <c r="AQ58" s="49">
        <v>0.3093518518518518</v>
      </c>
      <c r="AR58" s="57">
        <v>0.272662037037037</v>
      </c>
      <c r="AS58" s="57">
        <v>0.272662037037037</v>
      </c>
      <c r="AT58" s="57">
        <v>0.2762962962962963</v>
      </c>
      <c r="AU58" s="39"/>
      <c r="AV58" s="39"/>
      <c r="AW58" s="39"/>
      <c r="AX58" s="39"/>
    </row>
    <row r="59" spans="1:50" ht="13.5">
      <c r="A59" s="23" t="s">
        <v>12</v>
      </c>
      <c r="B59" s="21" t="s">
        <v>263</v>
      </c>
      <c r="C59" s="22" t="s">
        <v>284</v>
      </c>
      <c r="D59" s="23" t="s">
        <v>120</v>
      </c>
      <c r="E59" s="23" t="s">
        <v>285</v>
      </c>
      <c r="F59" s="24">
        <f t="shared" si="2"/>
        <v>0</v>
      </c>
      <c r="G59" s="25">
        <f>(5-COUNT(V59,Y59,AB59,AE59,AH59))*'штрафы-карточка'!$B$4+(4-COUNT(AK59,AL59,AO59,AR59))*'штрафы-карточка'!$B$5+(7-COUNT(X59,AA59,AD59,AG59,AN59,AQ59,AT59))*'штрафы-карточка'!$B$3</f>
        <v>0</v>
      </c>
      <c r="H59" s="26">
        <f>VLOOKUP(D59,'штрафы-карточка'!$E$2:$L$300,2,FALSE)</f>
        <v>0</v>
      </c>
      <c r="I59" s="26">
        <f>VLOOKUP(D59,'штрафы-карточка'!$E$2:$L$300,3,FALSE)</f>
        <v>60</v>
      </c>
      <c r="J59" s="26">
        <f>VLOOKUP(D59,'штрафы-карточка'!$E$2:$L$300,4,FALSE)</f>
        <v>0</v>
      </c>
      <c r="K59" s="26">
        <f>VLOOKUP(D59,'штрафы-карточка'!$E$2:$L$300,5,FALSE)</f>
        <v>0</v>
      </c>
      <c r="L59" s="26">
        <f>VLOOKUP(D59,'штрафы-карточка'!$E$2:$L$300,6,FALSE)</f>
        <v>0</v>
      </c>
      <c r="M59" s="26">
        <f>VLOOKUP(D59,'штрафы-карточка'!$E$2:$L$300,7,FALSE)</f>
        <v>0</v>
      </c>
      <c r="N59" s="26">
        <f>VLOOKUP(D59,'штрафы-карточка'!$E$2:$L$300,8,FALSE)</f>
        <v>0</v>
      </c>
      <c r="O59" s="61">
        <f t="shared" si="3"/>
        <v>0.38381944444444444</v>
      </c>
      <c r="P59" s="49">
        <v>0.006863425925925926</v>
      </c>
      <c r="Q59" s="57">
        <v>0.24635416666666665</v>
      </c>
      <c r="R59" s="49">
        <v>0.0484375</v>
      </c>
      <c r="S59" s="49">
        <v>0.093125</v>
      </c>
      <c r="T59" s="57">
        <v>0.09650462962962963</v>
      </c>
      <c r="U59" s="57">
        <v>0.12372685185185185</v>
      </c>
      <c r="V59" s="49">
        <v>0.03540509259259259</v>
      </c>
      <c r="W59" s="49">
        <v>0.03540509259259259</v>
      </c>
      <c r="X59" s="49">
        <v>0.03930555555555556</v>
      </c>
      <c r="Y59" s="57">
        <v>0.16018518518518518</v>
      </c>
      <c r="Z59" s="57">
        <v>0.16018518518518518</v>
      </c>
      <c r="AA59" s="57">
        <v>0.16234953703703703</v>
      </c>
      <c r="AB59" s="49">
        <v>0.15056712962962962</v>
      </c>
      <c r="AC59" s="49">
        <v>0.15056712962962962</v>
      </c>
      <c r="AD59" s="49">
        <v>0.15347222222222223</v>
      </c>
      <c r="AE59" s="57">
        <v>0.18210648148148148</v>
      </c>
      <c r="AF59" s="57">
        <v>0.18210648148148148</v>
      </c>
      <c r="AG59" s="57">
        <v>0.18506944444444443</v>
      </c>
      <c r="AH59" s="49">
        <v>0.0416666666666667</v>
      </c>
      <c r="AI59" s="57">
        <v>0.3038773148148148</v>
      </c>
      <c r="AJ59" s="57">
        <v>0.3143171296296296</v>
      </c>
      <c r="AK59" s="49">
        <v>0.31950231481481484</v>
      </c>
      <c r="AL59" s="57">
        <v>0.25612268518518516</v>
      </c>
      <c r="AM59" s="57">
        <v>0.25612268518518516</v>
      </c>
      <c r="AN59" s="57">
        <v>0.2579398148148148</v>
      </c>
      <c r="AO59" s="49">
        <v>0.2698148148148148</v>
      </c>
      <c r="AP59" s="49">
        <v>0.2698148148148148</v>
      </c>
      <c r="AQ59" s="49">
        <v>0.27122685185185186</v>
      </c>
      <c r="AR59" s="57">
        <v>0.23940972222222223</v>
      </c>
      <c r="AS59" s="57">
        <v>0.23940972222222223</v>
      </c>
      <c r="AT59" s="57">
        <v>0.24277777777777776</v>
      </c>
      <c r="AU59" s="39"/>
      <c r="AV59" s="39"/>
      <c r="AW59" s="39"/>
      <c r="AX59" s="39"/>
    </row>
    <row r="60" spans="1:50" ht="13.5">
      <c r="A60" s="23" t="s">
        <v>14</v>
      </c>
      <c r="B60" s="21" t="s">
        <v>263</v>
      </c>
      <c r="C60" s="22" t="s">
        <v>314</v>
      </c>
      <c r="D60" s="23" t="s">
        <v>126</v>
      </c>
      <c r="E60" s="23" t="s">
        <v>315</v>
      </c>
      <c r="F60" s="24">
        <f t="shared" si="2"/>
        <v>0.0007870370370370305</v>
      </c>
      <c r="G60" s="25">
        <f>(5-COUNT(V60,Y60,AB60,AE60,AH60))*'штрафы-карточка'!$B$4+(4-COUNT(AK60,AL60,AO60,AR60))*'штрафы-карточка'!$B$5+(7-COUNT(X60,AA60,AD60,AG60,AN60,AQ60,AT60))*'штрафы-карточка'!$B$3</f>
        <v>0</v>
      </c>
      <c r="H60" s="26">
        <f>VLOOKUP(D60,'штрафы-карточка'!$E$2:$L$300,2,FALSE)</f>
        <v>0</v>
      </c>
      <c r="I60" s="26">
        <f>VLOOKUP(D60,'штрафы-карточка'!$E$2:$L$300,3,FALSE)</f>
        <v>0</v>
      </c>
      <c r="J60" s="26">
        <f>VLOOKUP(D60,'штрафы-карточка'!$E$2:$L$300,4,FALSE)</f>
        <v>0</v>
      </c>
      <c r="K60" s="26">
        <f>VLOOKUP(D60,'штрафы-карточка'!$E$2:$L$300,5,FALSE)</f>
        <v>0</v>
      </c>
      <c r="L60" s="26">
        <f>VLOOKUP(D60,'штрафы-карточка'!$E$2:$L$300,6,FALSE)</f>
        <v>0</v>
      </c>
      <c r="M60" s="26">
        <f>VLOOKUP(D60,'штрафы-карточка'!$E$2:$L$300,7,FALSE)</f>
        <v>0</v>
      </c>
      <c r="N60" s="26">
        <f>VLOOKUP(D60,'штрафы-карточка'!$E$2:$L$300,8,FALSE)</f>
        <v>0</v>
      </c>
      <c r="O60" s="61">
        <f t="shared" si="3"/>
        <v>0.3971412037037037</v>
      </c>
      <c r="P60" s="49">
        <v>0.0067708333333333336</v>
      </c>
      <c r="Q60" s="57">
        <v>0.29032407407407407</v>
      </c>
      <c r="R60" s="49">
        <v>0.05475694444444445</v>
      </c>
      <c r="S60" s="49">
        <v>0.12614583333333332</v>
      </c>
      <c r="T60" s="57">
        <v>0.1283912037037037</v>
      </c>
      <c r="U60" s="57">
        <v>0.17121527777777779</v>
      </c>
      <c r="V60" s="49">
        <v>0.04311342592592593</v>
      </c>
      <c r="W60" s="49">
        <v>0.04311342592592593</v>
      </c>
      <c r="X60" s="49">
        <v>0.04434027777777778</v>
      </c>
      <c r="Y60" s="57">
        <v>0.20447916666666666</v>
      </c>
      <c r="Z60" s="57">
        <v>0.20447916666666666</v>
      </c>
      <c r="AA60" s="57">
        <v>0.20528935185185185</v>
      </c>
      <c r="AB60" s="49">
        <v>0.19775462962962964</v>
      </c>
      <c r="AC60" s="49">
        <v>0.19775462962962964</v>
      </c>
      <c r="AD60" s="49">
        <v>0.1989814814814815</v>
      </c>
      <c r="AE60" s="57">
        <v>0.2228240740740741</v>
      </c>
      <c r="AF60" s="57">
        <v>0.2236111111111111</v>
      </c>
      <c r="AG60" s="57">
        <v>0.22516203703703705</v>
      </c>
      <c r="AH60" s="49">
        <v>0.0416666666666667</v>
      </c>
      <c r="AI60" s="57">
        <v>0.35658564814814814</v>
      </c>
      <c r="AJ60" s="57">
        <v>0.3669560185185185</v>
      </c>
      <c r="AK60" s="49">
        <v>0.3732986111111111</v>
      </c>
      <c r="AL60" s="57">
        <v>0.30020833333333335</v>
      </c>
      <c r="AM60" s="57">
        <v>0.30020833333333335</v>
      </c>
      <c r="AN60" s="57">
        <v>0.30195601851851855</v>
      </c>
      <c r="AO60" s="49">
        <v>0.3146875</v>
      </c>
      <c r="AP60" s="49">
        <v>0.3146875</v>
      </c>
      <c r="AQ60" s="49">
        <v>0.316099537037037</v>
      </c>
      <c r="AR60" s="57">
        <v>0.2836689814814815</v>
      </c>
      <c r="AS60" s="57">
        <v>0.2836689814814815</v>
      </c>
      <c r="AT60" s="57">
        <v>0.28694444444444445</v>
      </c>
      <c r="AU60" s="39"/>
      <c r="AV60" s="39"/>
      <c r="AW60" s="39"/>
      <c r="AX60" s="39"/>
    </row>
    <row r="61" spans="1:50" ht="13.5">
      <c r="A61" s="23" t="s">
        <v>15</v>
      </c>
      <c r="B61" s="21" t="s">
        <v>263</v>
      </c>
      <c r="C61" s="22" t="s">
        <v>320</v>
      </c>
      <c r="D61" s="23" t="s">
        <v>107</v>
      </c>
      <c r="E61" s="23" t="s">
        <v>321</v>
      </c>
      <c r="F61" s="24">
        <f t="shared" si="2"/>
        <v>0.04501157407407397</v>
      </c>
      <c r="G61" s="25">
        <f>(5-COUNT(V61,Y61,AB61,AE61,AH61))*'штрафы-карточка'!$B$4+(4-COUNT(AK61,AL61,AO61,AR61))*'штрафы-карточка'!$B$5+(7-COUNT(X61,AA61,AD61,AG61,AN61,AQ61,AT61))*'штрафы-карточка'!$B$3</f>
        <v>0</v>
      </c>
      <c r="H61" s="26">
        <f>VLOOKUP(D61,'штрафы-карточка'!$E$2:$L$300,2,FALSE)</f>
        <v>0</v>
      </c>
      <c r="I61" s="26">
        <f>VLOOKUP(D61,'штрафы-карточка'!$E$2:$L$300,3,FALSE)</f>
        <v>0</v>
      </c>
      <c r="J61" s="26">
        <f>VLOOKUP(D61,'штрафы-карточка'!$E$2:$L$300,4,FALSE)</f>
        <v>0</v>
      </c>
      <c r="K61" s="26">
        <f>VLOOKUP(D61,'штрафы-карточка'!$E$2:$L$300,5,FALSE)</f>
        <v>0</v>
      </c>
      <c r="L61" s="26">
        <f>VLOOKUP(D61,'штрафы-карточка'!$E$2:$L$300,6,FALSE)</f>
        <v>0</v>
      </c>
      <c r="M61" s="26">
        <f>VLOOKUP(D61,'штрафы-карточка'!$E$2:$L$300,7,FALSE)</f>
        <v>0</v>
      </c>
      <c r="N61" s="26">
        <f>VLOOKUP(D61,'штрафы-карточка'!$E$2:$L$300,8,FALSE)</f>
        <v>0</v>
      </c>
      <c r="O61" s="61">
        <f t="shared" si="3"/>
        <v>0.4027662037037038</v>
      </c>
      <c r="P61" s="49">
        <v>0.00806712962962963</v>
      </c>
      <c r="Q61" s="57">
        <v>0.3333217592592593</v>
      </c>
      <c r="R61" s="49">
        <v>0.28480324074074076</v>
      </c>
      <c r="S61" s="49"/>
      <c r="T61" s="57">
        <v>0.15122685185185183</v>
      </c>
      <c r="U61" s="57">
        <v>0.1887037037037037</v>
      </c>
      <c r="V61" s="49">
        <v>0.13865740740740742</v>
      </c>
      <c r="W61" s="49">
        <v>0.14009259259259257</v>
      </c>
      <c r="X61" s="49">
        <v>0.14141203703703703</v>
      </c>
      <c r="Y61" s="57">
        <v>0.11344907407407408</v>
      </c>
      <c r="Z61" s="57">
        <v>0.11431712962962963</v>
      </c>
      <c r="AA61" s="57">
        <v>0.11594907407407407</v>
      </c>
      <c r="AB61" s="49">
        <v>0.30167824074074073</v>
      </c>
      <c r="AC61" s="49">
        <v>0.30167824074074073</v>
      </c>
      <c r="AD61" s="49">
        <v>0.30344907407407407</v>
      </c>
      <c r="AE61" s="57">
        <v>0.0637962962962963</v>
      </c>
      <c r="AF61" s="57">
        <v>0.0976273148148148</v>
      </c>
      <c r="AG61" s="57">
        <v>0.09880787037037037</v>
      </c>
      <c r="AH61" s="49">
        <v>0.0416666666666667</v>
      </c>
      <c r="AI61" s="57">
        <v>0.391712962962963</v>
      </c>
      <c r="AJ61" s="57">
        <v>0.400625</v>
      </c>
      <c r="AK61" s="49">
        <v>0.4050347222222222</v>
      </c>
      <c r="AL61" s="57">
        <v>0.3434837962962963</v>
      </c>
      <c r="AM61" s="57">
        <v>0.3434837962962963</v>
      </c>
      <c r="AN61" s="57">
        <v>0.3452777777777778</v>
      </c>
      <c r="AO61" s="49">
        <v>0.4390277777777778</v>
      </c>
      <c r="AP61" s="49">
        <v>0.4426273148148148</v>
      </c>
      <c r="AQ61" s="49">
        <v>0.44430555555555556</v>
      </c>
      <c r="AR61" s="57">
        <v>0.3219212962962963</v>
      </c>
      <c r="AS61" s="57">
        <v>0.32719907407407406</v>
      </c>
      <c r="AT61" s="57">
        <v>0.33055555555555555</v>
      </c>
      <c r="AU61" s="39"/>
      <c r="AV61" s="39"/>
      <c r="AW61" s="39"/>
      <c r="AX61" s="39"/>
    </row>
    <row r="62" spans="1:50" ht="13.5">
      <c r="A62" s="23" t="s">
        <v>16</v>
      </c>
      <c r="B62" s="21" t="s">
        <v>263</v>
      </c>
      <c r="C62" s="22" t="s">
        <v>322</v>
      </c>
      <c r="D62" s="23" t="s">
        <v>179</v>
      </c>
      <c r="E62" s="23" t="s">
        <v>323</v>
      </c>
      <c r="F62" s="24">
        <f t="shared" si="2"/>
        <v>0.03563657407407406</v>
      </c>
      <c r="G62" s="25">
        <f>(5-COUNT(V62,Y62,AB62,AE62,AH62))*'штрафы-карточка'!$B$4+(4-COUNT(AK62,AL62,AO62,AR62))*'штрафы-карточка'!$B$5+(7-COUNT(X62,AA62,AD62,AG62,AN62,AQ62,AT62))*'штрафы-карточка'!$B$3</f>
        <v>0</v>
      </c>
      <c r="H62" s="26">
        <f>VLOOKUP(D62,'штрафы-карточка'!$E$2:$L$300,2,FALSE)</f>
        <v>0</v>
      </c>
      <c r="I62" s="26">
        <f>VLOOKUP(D62,'штрафы-карточка'!$E$2:$L$300,3,FALSE)</f>
        <v>0</v>
      </c>
      <c r="J62" s="26">
        <f>VLOOKUP(D62,'штрафы-карточка'!$E$2:$L$300,4,FALSE)</f>
        <v>0</v>
      </c>
      <c r="K62" s="26">
        <f>VLOOKUP(D62,'штрафы-карточка'!$E$2:$L$300,5,FALSE)</f>
        <v>0</v>
      </c>
      <c r="L62" s="26">
        <f>VLOOKUP(D62,'штрафы-карточка'!$E$2:$L$300,6,FALSE)</f>
        <v>0</v>
      </c>
      <c r="M62" s="26">
        <f>VLOOKUP(D62,'штрафы-карточка'!$E$2:$L$300,7,FALSE)</f>
        <v>0</v>
      </c>
      <c r="N62" s="26">
        <f>VLOOKUP(D62,'штрафы-карточка'!$E$2:$L$300,8,FALSE)</f>
        <v>0</v>
      </c>
      <c r="O62" s="61">
        <f t="shared" si="3"/>
        <v>0.4032407407407408</v>
      </c>
      <c r="P62" s="49">
        <v>0.007986111111111112</v>
      </c>
      <c r="Q62" s="57">
        <v>0.32384259259259257</v>
      </c>
      <c r="R62" s="49">
        <v>0.1529398148148148</v>
      </c>
      <c r="S62" s="49">
        <v>0.22615740740740742</v>
      </c>
      <c r="T62" s="57">
        <v>0.2262962962962963</v>
      </c>
      <c r="U62" s="57">
        <v>0.25960648148148147</v>
      </c>
      <c r="V62" s="49">
        <v>0.1381712962962963</v>
      </c>
      <c r="W62" s="49">
        <v>0.1381712962962963</v>
      </c>
      <c r="X62" s="49">
        <v>0.1404050925925926</v>
      </c>
      <c r="Y62" s="57">
        <v>0.10690972222222223</v>
      </c>
      <c r="Z62" s="57">
        <v>0.10733796296296295</v>
      </c>
      <c r="AA62" s="57">
        <v>0.10975694444444445</v>
      </c>
      <c r="AB62" s="49">
        <v>0.273125</v>
      </c>
      <c r="AC62" s="49">
        <v>0.273125</v>
      </c>
      <c r="AD62" s="49">
        <v>0.27488425925925924</v>
      </c>
      <c r="AE62" s="57">
        <v>0.06270833333333332</v>
      </c>
      <c r="AF62" s="57">
        <v>0.09585648148148147</v>
      </c>
      <c r="AG62" s="57">
        <v>0.09675925925925925</v>
      </c>
      <c r="AH62" s="49">
        <v>0.0416666666666667</v>
      </c>
      <c r="AI62" s="57">
        <v>0.392025462962963</v>
      </c>
      <c r="AJ62" s="57">
        <v>0.40150462962962963</v>
      </c>
      <c r="AK62" s="49">
        <v>0.40596064814814814</v>
      </c>
      <c r="AL62" s="57">
        <v>0.335162037037037</v>
      </c>
      <c r="AM62" s="57">
        <v>0.33653935185185185</v>
      </c>
      <c r="AN62" s="57">
        <v>0.3383333333333333</v>
      </c>
      <c r="AO62" s="49">
        <v>0.35140046296296296</v>
      </c>
      <c r="AP62" s="49">
        <v>0.3520833333333333</v>
      </c>
      <c r="AQ62" s="49">
        <v>0.35368055555555555</v>
      </c>
      <c r="AR62" s="57">
        <v>0.3105671296296296</v>
      </c>
      <c r="AS62" s="57">
        <v>0.3105671296296296</v>
      </c>
      <c r="AT62" s="57">
        <v>0.31722222222222224</v>
      </c>
      <c r="AU62" s="39"/>
      <c r="AV62" s="39"/>
      <c r="AW62" s="39"/>
      <c r="AX62" s="39"/>
    </row>
    <row r="63" spans="1:50" ht="13.5">
      <c r="A63" s="23" t="s">
        <v>17</v>
      </c>
      <c r="B63" s="21" t="s">
        <v>263</v>
      </c>
      <c r="C63" s="22" t="s">
        <v>344</v>
      </c>
      <c r="D63" s="23" t="s">
        <v>116</v>
      </c>
      <c r="E63" s="23" t="s">
        <v>345</v>
      </c>
      <c r="F63" s="24">
        <f t="shared" si="2"/>
        <v>0.003206018518518483</v>
      </c>
      <c r="G63" s="25">
        <f>(5-COUNT(V63,Y63,AB63,AE63,AH63))*'штрафы-карточка'!$B$4+(4-COUNT(AK63,AL63,AO63,AR63))*'штрафы-карточка'!$B$5+(7-COUNT(X63,AA63,AD63,AG63,AN63,AQ63,AT63))*'штрафы-карточка'!$B$3</f>
        <v>0</v>
      </c>
      <c r="H63" s="26">
        <f>VLOOKUP(D63,'штрафы-карточка'!$E$2:$L$300,2,FALSE)</f>
        <v>0</v>
      </c>
      <c r="I63" s="26">
        <f>VLOOKUP(D63,'штрафы-карточка'!$E$2:$L$300,3,FALSE)</f>
        <v>0</v>
      </c>
      <c r="J63" s="26">
        <f>VLOOKUP(D63,'штрафы-карточка'!$E$2:$L$300,4,FALSE)</f>
        <v>0</v>
      </c>
      <c r="K63" s="26">
        <f>VLOOKUP(D63,'штрафы-карточка'!$E$2:$L$300,5,FALSE)</f>
        <v>0</v>
      </c>
      <c r="L63" s="26">
        <f>VLOOKUP(D63,'штрафы-карточка'!$E$2:$L$300,6,FALSE)</f>
        <v>0</v>
      </c>
      <c r="M63" s="26">
        <f>VLOOKUP(D63,'штрафы-карточка'!$E$2:$L$300,7,FALSE)</f>
        <v>0</v>
      </c>
      <c r="N63" s="26">
        <f>VLOOKUP(D63,'штрафы-карточка'!$E$2:$L$300,8,FALSE)</f>
        <v>0</v>
      </c>
      <c r="O63" s="61">
        <f t="shared" si="3"/>
        <v>0.41571759259259267</v>
      </c>
      <c r="P63" s="49">
        <v>0.00738425925925926</v>
      </c>
      <c r="Q63" s="57">
        <v>0.2919212962962963</v>
      </c>
      <c r="R63" s="49">
        <v>0.09288194444444443</v>
      </c>
      <c r="S63" s="49">
        <v>0.16488425925925926</v>
      </c>
      <c r="T63" s="57">
        <v>0.0503125</v>
      </c>
      <c r="U63" s="57">
        <v>0.08927083333333334</v>
      </c>
      <c r="V63" s="49">
        <v>0.17847222222222223</v>
      </c>
      <c r="W63" s="49">
        <v>0.17847222222222223</v>
      </c>
      <c r="X63" s="49">
        <v>0.18372685185185186</v>
      </c>
      <c r="Y63" s="57">
        <v>0.020381944444444446</v>
      </c>
      <c r="Z63" s="57">
        <v>0.022094907407407407</v>
      </c>
      <c r="AA63" s="57">
        <v>0.0249537037037037</v>
      </c>
      <c r="AB63" s="49">
        <v>0.03606481481481481</v>
      </c>
      <c r="AC63" s="49">
        <v>0.03606481481481481</v>
      </c>
      <c r="AD63" s="49">
        <v>0.0383912037037037</v>
      </c>
      <c r="AE63" s="57">
        <v>0.22454861111111113</v>
      </c>
      <c r="AF63" s="57">
        <v>0.22604166666666667</v>
      </c>
      <c r="AG63" s="57">
        <v>0.2275</v>
      </c>
      <c r="AH63" s="49">
        <v>0.0416666666666667</v>
      </c>
      <c r="AI63" s="57">
        <v>0.3740277777777778</v>
      </c>
      <c r="AJ63" s="57">
        <v>0.38387731481481485</v>
      </c>
      <c r="AK63" s="49">
        <v>0.3899884259259259</v>
      </c>
      <c r="AL63" s="57">
        <v>0.29996527777777776</v>
      </c>
      <c r="AM63" s="57">
        <v>0.29996527777777776</v>
      </c>
      <c r="AN63" s="57">
        <v>0.30461805555555554</v>
      </c>
      <c r="AO63" s="49">
        <v>0.32261574074074073</v>
      </c>
      <c r="AP63" s="49">
        <v>0.32261574074074073</v>
      </c>
      <c r="AQ63" s="49">
        <v>0.3253009259259259</v>
      </c>
      <c r="AR63" s="57">
        <v>0.27952546296296293</v>
      </c>
      <c r="AS63" s="57">
        <v>0.27952546296296293</v>
      </c>
      <c r="AT63" s="57">
        <v>0.28837962962962965</v>
      </c>
      <c r="AU63" s="39"/>
      <c r="AV63" s="39"/>
      <c r="AW63" s="39"/>
      <c r="AX63" s="39"/>
    </row>
    <row r="64" spans="1:50" ht="13.5">
      <c r="A64" s="23" t="s">
        <v>18</v>
      </c>
      <c r="B64" s="21" t="s">
        <v>263</v>
      </c>
      <c r="C64" s="22" t="s">
        <v>352</v>
      </c>
      <c r="D64" s="23" t="s">
        <v>127</v>
      </c>
      <c r="E64" s="23" t="s">
        <v>353</v>
      </c>
      <c r="F64" s="24">
        <f t="shared" si="2"/>
        <v>0.020057870370370323</v>
      </c>
      <c r="G64" s="25">
        <f>(5-COUNT(V64,Y64,AB64,AE64,AH64))*'штрафы-карточка'!$B$4+(4-COUNT(AK64,AL64,AO64,AR64))*'штрафы-карточка'!$B$5+(7-COUNT(X64,AA64,AD64,AG64,AN64,AQ64,AT64))*'штрафы-карточка'!$B$3</f>
        <v>0</v>
      </c>
      <c r="H64" s="26">
        <f>VLOOKUP(D64,'штрафы-карточка'!$E$2:$L$300,2,FALSE)</f>
        <v>0</v>
      </c>
      <c r="I64" s="26">
        <f>VLOOKUP(D64,'штрафы-карточка'!$E$2:$L$300,3,FALSE)</f>
        <v>0</v>
      </c>
      <c r="J64" s="26">
        <f>VLOOKUP(D64,'штрафы-карточка'!$E$2:$L$300,4,FALSE)</f>
        <v>0</v>
      </c>
      <c r="K64" s="26">
        <f>VLOOKUP(D64,'штрафы-карточка'!$E$2:$L$300,5,FALSE)</f>
        <v>0</v>
      </c>
      <c r="L64" s="26">
        <f>VLOOKUP(D64,'штрафы-карточка'!$E$2:$L$300,6,FALSE)</f>
        <v>0</v>
      </c>
      <c r="M64" s="26">
        <f>VLOOKUP(D64,'штрафы-карточка'!$E$2:$L$300,7,FALSE)</f>
        <v>0</v>
      </c>
      <c r="N64" s="26">
        <f>VLOOKUP(D64,'штрафы-карточка'!$E$2:$L$300,8,FALSE)</f>
        <v>0</v>
      </c>
      <c r="O64" s="61">
        <f t="shared" si="3"/>
        <v>0.42459490740740746</v>
      </c>
      <c r="P64" s="49">
        <v>0.0066782407407407415</v>
      </c>
      <c r="Q64" s="57">
        <v>0.31896990740740744</v>
      </c>
      <c r="R64" s="49">
        <v>0.11503472222222222</v>
      </c>
      <c r="S64" s="49">
        <v>0.19077546296296297</v>
      </c>
      <c r="T64" s="57">
        <v>0.22258101851851853</v>
      </c>
      <c r="U64" s="57"/>
      <c r="V64" s="49">
        <v>0.24886574074074075</v>
      </c>
      <c r="W64" s="49">
        <v>0.24960648148148148</v>
      </c>
      <c r="X64" s="49">
        <v>0.2511805555555556</v>
      </c>
      <c r="Y64" s="57">
        <v>0.2779513888888889</v>
      </c>
      <c r="Z64" s="57">
        <v>0.2792361111111111</v>
      </c>
      <c r="AA64" s="57">
        <v>0.28699074074074077</v>
      </c>
      <c r="AB64" s="49">
        <v>0.09178240740740741</v>
      </c>
      <c r="AC64" s="49">
        <v>0.09178240740740741</v>
      </c>
      <c r="AD64" s="49">
        <v>0.09362268518518518</v>
      </c>
      <c r="AE64" s="57">
        <v>0.056712962962962965</v>
      </c>
      <c r="AF64" s="57">
        <v>0.07222222222222223</v>
      </c>
      <c r="AG64" s="57">
        <v>0.0734375</v>
      </c>
      <c r="AH64" s="49">
        <v>0.0416666666666667</v>
      </c>
      <c r="AI64" s="57">
        <v>0.3730439814814815</v>
      </c>
      <c r="AJ64" s="57">
        <v>0.3822800925925926</v>
      </c>
      <c r="AK64" s="49">
        <v>0.36451388888888886</v>
      </c>
      <c r="AL64" s="57">
        <v>0.3286689814814815</v>
      </c>
      <c r="AM64" s="57">
        <v>0.3286689814814815</v>
      </c>
      <c r="AN64" s="57">
        <v>0.3320949074074074</v>
      </c>
      <c r="AO64" s="49">
        <v>0.4383680555555556</v>
      </c>
      <c r="AP64" s="49">
        <v>0.44089120370370366</v>
      </c>
      <c r="AQ64" s="49">
        <v>0.44170138888888894</v>
      </c>
      <c r="AR64" s="57">
        <v>0.3103587962962963</v>
      </c>
      <c r="AS64" s="57">
        <v>0.3103587962962963</v>
      </c>
      <c r="AT64" s="57">
        <v>0.3156597222222222</v>
      </c>
      <c r="AU64" s="39"/>
      <c r="AV64" s="39"/>
      <c r="AW64" s="39"/>
      <c r="AX64" s="39"/>
    </row>
    <row r="65" spans="1:50" ht="13.5">
      <c r="A65" s="23" t="s">
        <v>19</v>
      </c>
      <c r="B65" s="21" t="s">
        <v>263</v>
      </c>
      <c r="C65" s="22" t="s">
        <v>364</v>
      </c>
      <c r="D65" s="23" t="s">
        <v>128</v>
      </c>
      <c r="E65" s="23" t="s">
        <v>365</v>
      </c>
      <c r="F65" s="24">
        <f t="shared" si="2"/>
        <v>0.01975694444444448</v>
      </c>
      <c r="G65" s="25">
        <f>(5-COUNT(V65,Y65,AB65,AE65,AH65))*'штрафы-карточка'!$B$4+(4-COUNT(AK65,AL65,AO65,AR65))*'штрафы-карточка'!$B$5+(7-COUNT(X65,AA65,AD65,AG65,AN65,AQ65,AT65))*'штрафы-карточка'!$B$3</f>
        <v>0</v>
      </c>
      <c r="H65" s="26">
        <f>VLOOKUP(D65,'штрафы-карточка'!$E$2:$L$300,2,FALSE)</f>
        <v>0</v>
      </c>
      <c r="I65" s="26">
        <f>VLOOKUP(D65,'штрафы-карточка'!$E$2:$L$300,3,FALSE)</f>
        <v>0</v>
      </c>
      <c r="J65" s="26">
        <f>VLOOKUP(D65,'штрафы-карточка'!$E$2:$L$300,4,FALSE)</f>
        <v>0</v>
      </c>
      <c r="K65" s="26">
        <f>VLOOKUP(D65,'штрафы-карточка'!$E$2:$L$300,5,FALSE)</f>
        <v>0</v>
      </c>
      <c r="L65" s="26">
        <f>VLOOKUP(D65,'штрафы-карточка'!$E$2:$L$300,6,FALSE)</f>
        <v>0</v>
      </c>
      <c r="M65" s="26">
        <f>VLOOKUP(D65,'штрафы-карточка'!$E$2:$L$300,7,FALSE)</f>
        <v>0</v>
      </c>
      <c r="N65" s="26">
        <f>VLOOKUP(D65,'штрафы-карточка'!$E$2:$L$300,8,FALSE)</f>
        <v>0</v>
      </c>
      <c r="O65" s="61">
        <f t="shared" si="3"/>
        <v>0.44015046296296295</v>
      </c>
      <c r="P65" s="49">
        <v>0.008761574074074074</v>
      </c>
      <c r="Q65" s="57">
        <v>0.3297453703703704</v>
      </c>
      <c r="R65" s="49">
        <v>0.13998842592592592</v>
      </c>
      <c r="S65" s="49">
        <v>0.21877314814814816</v>
      </c>
      <c r="T65" s="57">
        <v>0.21890046296296295</v>
      </c>
      <c r="U65" s="57">
        <v>0.26309027777777777</v>
      </c>
      <c r="V65" s="49">
        <v>0.2757986111111111</v>
      </c>
      <c r="W65" s="49">
        <v>0.2757986111111111</v>
      </c>
      <c r="X65" s="49">
        <v>0.2775925925925926</v>
      </c>
      <c r="Y65" s="57">
        <v>0.10434027777777777</v>
      </c>
      <c r="Z65" s="57">
        <v>0.10462962962962963</v>
      </c>
      <c r="AA65" s="57">
        <v>0.11028935185185185</v>
      </c>
      <c r="AB65" s="49">
        <v>0.11810185185185185</v>
      </c>
      <c r="AC65" s="49">
        <v>0.11810185185185185</v>
      </c>
      <c r="AD65" s="49">
        <v>0.12075231481481481</v>
      </c>
      <c r="AE65" s="57">
        <v>0.07466435185185184</v>
      </c>
      <c r="AF65" s="57">
        <v>0.0821875</v>
      </c>
      <c r="AG65" s="57">
        <v>0.08325231481481482</v>
      </c>
      <c r="AH65" s="49">
        <v>0.0416666666666667</v>
      </c>
      <c r="AI65" s="57">
        <v>0.3700925925925926</v>
      </c>
      <c r="AJ65" s="57">
        <v>0.38030092592592596</v>
      </c>
      <c r="AK65" s="49">
        <v>0.3619791666666667</v>
      </c>
      <c r="AL65" s="57">
        <v>0.4458333333333333</v>
      </c>
      <c r="AM65" s="57">
        <v>0.4555092592592593</v>
      </c>
      <c r="AN65" s="57">
        <v>0.4571759259259259</v>
      </c>
      <c r="AO65" s="49">
        <v>0.43952546296296297</v>
      </c>
      <c r="AP65" s="49">
        <v>0.44179398148148147</v>
      </c>
      <c r="AQ65" s="49">
        <v>0.4441435185185185</v>
      </c>
      <c r="AR65" s="57">
        <v>0.3188310185185185</v>
      </c>
      <c r="AS65" s="57">
        <v>0.3188310185185185</v>
      </c>
      <c r="AT65" s="57">
        <v>0.3242245370370371</v>
      </c>
      <c r="AU65" s="39"/>
      <c r="AV65" s="39"/>
      <c r="AW65" s="39"/>
      <c r="AX65" s="39"/>
    </row>
    <row r="66" spans="1:50" ht="13.5">
      <c r="A66" s="23" t="s">
        <v>20</v>
      </c>
      <c r="B66" s="21" t="s">
        <v>263</v>
      </c>
      <c r="C66" s="22" t="s">
        <v>338</v>
      </c>
      <c r="D66" s="23" t="s">
        <v>112</v>
      </c>
      <c r="E66" s="23" t="s">
        <v>339</v>
      </c>
      <c r="F66" s="24">
        <f t="shared" si="2"/>
        <v>0.008368055555555587</v>
      </c>
      <c r="G66" s="25">
        <f>(5-COUNT(V66,Y66,AB66,AE66,AH66))*'штрафы-карточка'!$B$4+(4-COUNT(AK66,AL66,AO66,AR66))*'штрафы-карточка'!$B$5+(7-COUNT(X66,AA66,AD66,AG66,AN66,AQ66,AT66))*'штрафы-карточка'!$B$3</f>
        <v>0</v>
      </c>
      <c r="H66" s="26">
        <f>VLOOKUP(D66,'штрафы-карточка'!$E$2:$L$300,2,FALSE)</f>
        <v>0</v>
      </c>
      <c r="I66" s="26">
        <f>VLOOKUP(D66,'штрафы-карточка'!$E$2:$L$300,3,FALSE)</f>
        <v>0</v>
      </c>
      <c r="J66" s="26">
        <f>VLOOKUP(D66,'штрафы-карточка'!$E$2:$L$300,4,FALSE)</f>
        <v>0</v>
      </c>
      <c r="K66" s="26">
        <f>VLOOKUP(D66,'штрафы-карточка'!$E$2:$L$300,5,FALSE)</f>
        <v>0</v>
      </c>
      <c r="L66" s="26">
        <f>VLOOKUP(D66,'штрафы-карточка'!$E$2:$L$300,6,FALSE)</f>
        <v>60</v>
      </c>
      <c r="M66" s="26">
        <f>VLOOKUP(D66,'штрафы-карточка'!$E$2:$L$300,7,FALSE)</f>
        <v>0</v>
      </c>
      <c r="N66" s="26">
        <f>VLOOKUP(D66,'штрафы-карточка'!$E$2:$L$300,8,FALSE)</f>
        <v>0</v>
      </c>
      <c r="O66" s="61">
        <f t="shared" si="3"/>
        <v>0.4541782407407407</v>
      </c>
      <c r="P66" s="49">
        <v>0.006608796296296297</v>
      </c>
      <c r="Q66" s="57">
        <v>0.3055555555555555</v>
      </c>
      <c r="R66" s="49">
        <v>0.25503472222222223</v>
      </c>
      <c r="S66" s="49"/>
      <c r="T66" s="57">
        <v>0.12956018518518517</v>
      </c>
      <c r="U66" s="57">
        <v>0.16283564814814813</v>
      </c>
      <c r="V66" s="49">
        <v>0.11369212962962964</v>
      </c>
      <c r="W66" s="49">
        <v>0.11369212962962964</v>
      </c>
      <c r="X66" s="49">
        <v>0.11540509259259259</v>
      </c>
      <c r="Y66" s="57">
        <v>0.08355324074074073</v>
      </c>
      <c r="Z66" s="57">
        <v>0.08466435185185185</v>
      </c>
      <c r="AA66" s="57">
        <v>0.08689814814814815</v>
      </c>
      <c r="AB66" s="49">
        <v>0.28042824074074074</v>
      </c>
      <c r="AC66" s="49">
        <v>0.28042824074074074</v>
      </c>
      <c r="AD66" s="49">
        <v>0.28177083333333336</v>
      </c>
      <c r="AE66" s="57">
        <v>0.05094907407407407</v>
      </c>
      <c r="AF66" s="57">
        <v>0.0575</v>
      </c>
      <c r="AG66" s="57">
        <v>0.05833333333333333</v>
      </c>
      <c r="AH66" s="49">
        <v>0.0416666666666667</v>
      </c>
      <c r="AI66" s="57">
        <v>0.3817592592592593</v>
      </c>
      <c r="AJ66" s="57">
        <v>0.38820601851851855</v>
      </c>
      <c r="AK66" s="49">
        <v>0.39490740740740743</v>
      </c>
      <c r="AL66" s="57">
        <v>0.3123263888888889</v>
      </c>
      <c r="AM66" s="57">
        <v>0.3123263888888889</v>
      </c>
      <c r="AN66" s="57">
        <v>0.3138078703703704</v>
      </c>
      <c r="AO66" s="49">
        <v>0.3297222222222222</v>
      </c>
      <c r="AP66" s="49">
        <v>0.33042824074074073</v>
      </c>
      <c r="AQ66" s="49">
        <v>0.33140046296296294</v>
      </c>
      <c r="AR66" s="57">
        <v>0.3014467592592593</v>
      </c>
      <c r="AS66" s="57">
        <v>0.3014467592592593</v>
      </c>
      <c r="AT66" s="57">
        <v>0.30300925925925926</v>
      </c>
      <c r="AU66" s="39"/>
      <c r="AV66" s="39"/>
      <c r="AW66" s="39"/>
      <c r="AX66" s="39"/>
    </row>
    <row r="67" spans="1:50" ht="13.5">
      <c r="A67" s="23" t="s">
        <v>21</v>
      </c>
      <c r="B67" s="21" t="s">
        <v>263</v>
      </c>
      <c r="C67" s="22" t="s">
        <v>360</v>
      </c>
      <c r="D67" s="23" t="s">
        <v>103</v>
      </c>
      <c r="E67" s="23" t="s">
        <v>361</v>
      </c>
      <c r="F67" s="24">
        <f t="shared" si="2"/>
        <v>0.0198726851851852</v>
      </c>
      <c r="G67" s="25">
        <f>(5-COUNT(V67,Y67,AB67,AE67,AH67))*'штрафы-карточка'!$B$4+(4-COUNT(AK67,AL67,AO67,AR67))*'штрафы-карточка'!$B$5+(7-COUNT(X67,AA67,AD67,AG67,AN67,AQ67,AT67))*'штрафы-карточка'!$B$3</f>
        <v>0</v>
      </c>
      <c r="H67" s="26">
        <f>VLOOKUP(D67,'штрафы-карточка'!$E$2:$L$300,2,FALSE)</f>
        <v>30</v>
      </c>
      <c r="I67" s="26">
        <f>VLOOKUP(D67,'штрафы-карточка'!$E$2:$L$300,3,FALSE)</f>
        <v>0</v>
      </c>
      <c r="J67" s="26">
        <f>VLOOKUP(D67,'штрафы-карточка'!$E$2:$L$300,4,FALSE)</f>
        <v>0</v>
      </c>
      <c r="K67" s="26">
        <f>VLOOKUP(D67,'штрафы-карточка'!$E$2:$L$300,5,FALSE)</f>
        <v>0</v>
      </c>
      <c r="L67" s="26">
        <f>VLOOKUP(D67,'штрафы-карточка'!$E$2:$L$300,6,FALSE)</f>
        <v>0</v>
      </c>
      <c r="M67" s="26">
        <f>VLOOKUP(D67,'штрафы-карточка'!$E$2:$L$300,7,FALSE)</f>
        <v>0</v>
      </c>
      <c r="N67" s="26">
        <f>VLOOKUP(D67,'штрафы-карточка'!$E$2:$L$300,8,FALSE)</f>
        <v>0</v>
      </c>
      <c r="O67" s="61">
        <f t="shared" si="3"/>
        <v>0.4573032407407407</v>
      </c>
      <c r="P67" s="49">
        <v>0.00832175925925926</v>
      </c>
      <c r="Q67" s="57">
        <v>0.3394328703703704</v>
      </c>
      <c r="R67" s="49">
        <v>0.12231481481481482</v>
      </c>
      <c r="S67" s="49">
        <v>0.19475694444444444</v>
      </c>
      <c r="T67" s="57">
        <v>0.07166666666666667</v>
      </c>
      <c r="U67" s="57">
        <v>0.11792824074074075</v>
      </c>
      <c r="V67" s="49">
        <v>0.21655092592592592</v>
      </c>
      <c r="W67" s="49">
        <v>0.21980324074074076</v>
      </c>
      <c r="X67" s="49">
        <v>0.22383101851851853</v>
      </c>
      <c r="Y67" s="57">
        <v>0.025</v>
      </c>
      <c r="Z67" s="57">
        <v>0.03549768518518519</v>
      </c>
      <c r="AA67" s="57">
        <v>0.04085648148148149</v>
      </c>
      <c r="AB67" s="49">
        <v>0.05682870370370371</v>
      </c>
      <c r="AC67" s="49">
        <v>0.05682870370370371</v>
      </c>
      <c r="AD67" s="49">
        <v>0.05851851851851852</v>
      </c>
      <c r="AE67" s="57">
        <v>0.2637615740740741</v>
      </c>
      <c r="AF67" s="57">
        <v>0.2637615740740741</v>
      </c>
      <c r="AG67" s="57">
        <v>0.2652083333333333</v>
      </c>
      <c r="AH67" s="49">
        <v>0.0416666666666667</v>
      </c>
      <c r="AI67" s="57">
        <v>0.4213194444444444</v>
      </c>
      <c r="AJ67" s="57">
        <v>0.4280787037037037</v>
      </c>
      <c r="AK67" s="49">
        <v>0.4122337962962963</v>
      </c>
      <c r="AL67" s="57">
        <v>0.36097222222222225</v>
      </c>
      <c r="AM67" s="57">
        <v>0.36097222222222225</v>
      </c>
      <c r="AN67" s="57">
        <v>0.36336805555555557</v>
      </c>
      <c r="AO67" s="49">
        <v>0.38017361111111114</v>
      </c>
      <c r="AP67" s="49">
        <v>0.38017361111111114</v>
      </c>
      <c r="AQ67" s="49">
        <v>0.38202546296296297</v>
      </c>
      <c r="AR67" s="57">
        <v>0.3251041666666667</v>
      </c>
      <c r="AS67" s="57">
        <v>0.33122685185185186</v>
      </c>
      <c r="AT67" s="57">
        <v>0.334849537037037</v>
      </c>
      <c r="AU67" s="39"/>
      <c r="AV67" s="39"/>
      <c r="AW67" s="39"/>
      <c r="AX67" s="39"/>
    </row>
    <row r="68" spans="1:50" ht="13.5">
      <c r="A68" s="23" t="s">
        <v>22</v>
      </c>
      <c r="B68" s="21" t="s">
        <v>263</v>
      </c>
      <c r="C68" s="22" t="s">
        <v>330</v>
      </c>
      <c r="D68" s="23" t="s">
        <v>115</v>
      </c>
      <c r="E68" s="23" t="s">
        <v>331</v>
      </c>
      <c r="F68" s="24">
        <f aca="true" t="shared" si="4" ref="F68:F80">W68-V68+Z68-Y68+AC68-AB68+AF68-AE68+AM68-AL68+AP68-AO68+AS68-AR68</f>
        <v>0.02197916666666666</v>
      </c>
      <c r="G68" s="25">
        <f>(5-COUNT(V68,Y68,AB68,AE68,AH68))*'штрафы-карточка'!$B$4+(4-COUNT(AK68,AL68,AO68,AR68))*'штрафы-карточка'!$B$5+(7-COUNT(X68,AA68,AD68,AG68,AN68,AQ68,AT68))*'штрафы-карточка'!$B$3</f>
        <v>0</v>
      </c>
      <c r="H68" s="26">
        <f>VLOOKUP(D68,'штрафы-карточка'!$E$2:$L$300,2,FALSE)</f>
        <v>0</v>
      </c>
      <c r="I68" s="26">
        <f>VLOOKUP(D68,'штрафы-карточка'!$E$2:$L$300,3,FALSE)</f>
        <v>0</v>
      </c>
      <c r="J68" s="26">
        <f>VLOOKUP(D68,'штрафы-карточка'!$E$2:$L$300,4,FALSE)</f>
        <v>0</v>
      </c>
      <c r="K68" s="26">
        <f>VLOOKUP(D68,'штрафы-карточка'!$E$2:$L$300,5,FALSE)</f>
        <v>0</v>
      </c>
      <c r="L68" s="26">
        <f>VLOOKUP(D68,'штрафы-карточка'!$E$2:$L$300,6,FALSE)</f>
        <v>120</v>
      </c>
      <c r="M68" s="26">
        <f>VLOOKUP(D68,'штрафы-карточка'!$E$2:$L$300,7,FALSE)</f>
        <v>0</v>
      </c>
      <c r="N68" s="26">
        <f>VLOOKUP(D68,'штрафы-карточка'!$E$2:$L$300,8,FALSE)</f>
        <v>0</v>
      </c>
      <c r="O68" s="61">
        <f>E68-F68+TIME(0,G68,0)+TIME(0,H68,0)+TIME(0,I68,0)+TIME(0,J68,0)+TIME(0,K68,0)+TIME(0,L68,0)+TIME(0,M68,0)+TIME(0,N68,0)</f>
        <v>0.4916203703703704</v>
      </c>
      <c r="P68" s="49">
        <v>0.011909722222222223</v>
      </c>
      <c r="Q68" s="57">
        <v>0.3275462962962963</v>
      </c>
      <c r="R68" s="49">
        <v>0.11023148148148149</v>
      </c>
      <c r="S68" s="49">
        <v>0.19451388888888888</v>
      </c>
      <c r="T68" s="57">
        <v>0.19490740740740742</v>
      </c>
      <c r="U68" s="57">
        <v>0.2506712962962963</v>
      </c>
      <c r="V68" s="49">
        <v>0.2741898148148148</v>
      </c>
      <c r="W68" s="49">
        <v>0.2741898148148148</v>
      </c>
      <c r="X68" s="49">
        <v>0.2757060185185185</v>
      </c>
      <c r="Y68" s="57">
        <v>0.3027314814814815</v>
      </c>
      <c r="Z68" s="57">
        <v>0.30454861111111114</v>
      </c>
      <c r="AA68" s="57">
        <v>0.3082523148148148</v>
      </c>
      <c r="AB68" s="49">
        <v>0.09336805555555555</v>
      </c>
      <c r="AC68" s="49">
        <v>0.09336805555555555</v>
      </c>
      <c r="AD68" s="49">
        <v>0.09523148148148149</v>
      </c>
      <c r="AE68" s="57">
        <v>0.05755787037037038</v>
      </c>
      <c r="AF68" s="57">
        <v>0.074375</v>
      </c>
      <c r="AG68" s="57">
        <v>0.0753125</v>
      </c>
      <c r="AH68" s="49">
        <v>0.0416666666666667</v>
      </c>
      <c r="AI68" s="57">
        <v>0.379212962962963</v>
      </c>
      <c r="AJ68" s="57">
        <v>0.3874768518518519</v>
      </c>
      <c r="AK68" s="49">
        <v>0.39275462962962965</v>
      </c>
      <c r="AL68" s="57">
        <v>0.3325925925925926</v>
      </c>
      <c r="AM68" s="57">
        <v>0.33471064814814816</v>
      </c>
      <c r="AN68" s="57">
        <v>0.33561342592592597</v>
      </c>
      <c r="AO68" s="49">
        <v>0.34858796296296296</v>
      </c>
      <c r="AP68" s="49">
        <v>0.3498148148148148</v>
      </c>
      <c r="AQ68" s="49">
        <v>0.35105324074074074</v>
      </c>
      <c r="AR68" s="57">
        <v>0.3191087962962963</v>
      </c>
      <c r="AS68" s="57">
        <v>0.3191087962962963</v>
      </c>
      <c r="AT68" s="57">
        <v>0.3237037037037037</v>
      </c>
      <c r="AU68" s="39"/>
      <c r="AV68" s="42">
        <v>0.3365856481481482</v>
      </c>
      <c r="AW68" s="39"/>
      <c r="AX68" s="39"/>
    </row>
    <row r="69" spans="1:50" ht="13.5">
      <c r="A69" s="23" t="s">
        <v>23</v>
      </c>
      <c r="B69" s="21" t="s">
        <v>263</v>
      </c>
      <c r="C69" s="22" t="s">
        <v>380</v>
      </c>
      <c r="D69" s="23" t="s">
        <v>104</v>
      </c>
      <c r="E69" s="23" t="s">
        <v>381</v>
      </c>
      <c r="F69" s="24">
        <f t="shared" si="4"/>
        <v>0.007500000000000007</v>
      </c>
      <c r="G69" s="25">
        <f>(5-COUNT(V69,Y69,AB69,AE69,AH69))*'штрафы-карточка'!$B$4+(4-COUNT(AK69,AL69,AO69,AR69))*'штрафы-карточка'!$B$5+(7-COUNT(X69,AA69,AD69,AG69,AN69,AQ69,AT69))*'штрафы-карточка'!$B$3</f>
        <v>0</v>
      </c>
      <c r="H69" s="26">
        <f>VLOOKUP(D69,'штрафы-карточка'!$E$2:$L$300,2,FALSE)</f>
        <v>60</v>
      </c>
      <c r="I69" s="26">
        <f>VLOOKUP(D69,'штрафы-карточка'!$E$2:$L$300,3,FALSE)</f>
        <v>60</v>
      </c>
      <c r="J69" s="26">
        <f>VLOOKUP(D69,'штрафы-карточка'!$E$2:$L$300,4,FALSE)</f>
        <v>0</v>
      </c>
      <c r="K69" s="26">
        <f>VLOOKUP(D69,'штрафы-карточка'!$E$2:$L$300,5,FALSE)</f>
        <v>0</v>
      </c>
      <c r="L69" s="26">
        <f>VLOOKUP(D69,'штрафы-карточка'!$E$2:$L$300,6,FALSE)</f>
        <v>0</v>
      </c>
      <c r="M69" s="26">
        <f>VLOOKUP(D69,'штрафы-карточка'!$E$2:$L$300,7,FALSE)</f>
        <v>0</v>
      </c>
      <c r="N69" s="26">
        <f>VLOOKUP(D69,'штрафы-карточка'!$E$2:$L$300,8,FALSE)</f>
        <v>0</v>
      </c>
      <c r="O69" s="61">
        <f>E69-F69+TIME(0,G69,0)+TIME(0,H69,0)+TIME(0,I69,0)+TIME(0,J69,0)+TIME(0,K69,0)+TIME(0,L69,0)+TIME(0,M69,0)+TIME(0,N69,0)</f>
        <v>0.5117013888888889</v>
      </c>
      <c r="P69" s="49">
        <v>0.00982638888888889</v>
      </c>
      <c r="Q69" s="57">
        <v>0.32862268518518517</v>
      </c>
      <c r="R69" s="49">
        <v>0.185625</v>
      </c>
      <c r="S69" s="49">
        <v>0.28065972222222224</v>
      </c>
      <c r="T69" s="57">
        <v>0.15006944444444445</v>
      </c>
      <c r="U69" s="57">
        <v>0.1827777777777778</v>
      </c>
      <c r="V69" s="49">
        <v>0.1250578703703704</v>
      </c>
      <c r="W69" s="49">
        <v>0.1303703703703704</v>
      </c>
      <c r="X69" s="49">
        <v>0.13125</v>
      </c>
      <c r="Y69" s="57">
        <v>0.2950578703703704</v>
      </c>
      <c r="Z69" s="57">
        <v>0.29596064814814815</v>
      </c>
      <c r="AA69" s="57">
        <v>0.3002546296296296</v>
      </c>
      <c r="AB69" s="49">
        <v>0.2886458333333333</v>
      </c>
      <c r="AC69" s="49">
        <v>0.2886458333333333</v>
      </c>
      <c r="AD69" s="49">
        <v>0.2904398148148148</v>
      </c>
      <c r="AE69" s="57">
        <v>0.07157407407407408</v>
      </c>
      <c r="AF69" s="57">
        <v>0.07157407407407408</v>
      </c>
      <c r="AG69" s="67">
        <v>0.07291666666666667</v>
      </c>
      <c r="AH69" s="49">
        <v>0.0416666666666667</v>
      </c>
      <c r="AI69" s="57">
        <v>0.3826736111111111</v>
      </c>
      <c r="AJ69" s="57">
        <v>0.3890509259259259</v>
      </c>
      <c r="AK69" s="49">
        <v>0.40498842592592593</v>
      </c>
      <c r="AL69" s="57">
        <v>0.33850694444444446</v>
      </c>
      <c r="AM69" s="57">
        <v>0.33850694444444446</v>
      </c>
      <c r="AN69" s="57">
        <v>0.34085648148148145</v>
      </c>
      <c r="AO69" s="49">
        <v>0.35568287037037033</v>
      </c>
      <c r="AP69" s="49">
        <v>0.3569675925925926</v>
      </c>
      <c r="AQ69" s="49">
        <v>0.3584375</v>
      </c>
      <c r="AR69" s="57">
        <v>0.3188773148148148</v>
      </c>
      <c r="AS69" s="57">
        <v>0.3188773148148148</v>
      </c>
      <c r="AT69" s="57">
        <v>0.3259606481481481</v>
      </c>
      <c r="AU69" s="39"/>
      <c r="AV69" s="39"/>
      <c r="AW69" s="39"/>
      <c r="AX69" s="39"/>
    </row>
    <row r="70" spans="1:50" ht="13.5">
      <c r="A70" s="23" t="s">
        <v>24</v>
      </c>
      <c r="B70" s="21" t="s">
        <v>263</v>
      </c>
      <c r="C70" s="22" t="s">
        <v>326</v>
      </c>
      <c r="D70" s="23" t="s">
        <v>121</v>
      </c>
      <c r="E70" s="23" t="s">
        <v>327</v>
      </c>
      <c r="F70" s="24">
        <f t="shared" si="4"/>
        <v>0.044710648148148124</v>
      </c>
      <c r="G70" s="25">
        <f>(5-COUNT(V70,Y70,AB70,AE70,AH70))*'штрафы-карточка'!$B$4+(4-COUNT(AK70,AL70,AO70,AR70))*'штрафы-карточка'!$B$5+(7-COUNT(X70,AA70,AD70,AG70,AN70,AQ70,AT70))*'штрафы-карточка'!$B$3</f>
        <v>0</v>
      </c>
      <c r="H70" s="26">
        <f>VLOOKUP(D70,'штрафы-карточка'!$E$2:$L$300,2,FALSE)</f>
        <v>180</v>
      </c>
      <c r="I70" s="26">
        <f>VLOOKUP(D70,'штрафы-карточка'!$E$2:$L$300,3,FALSE)</f>
        <v>0</v>
      </c>
      <c r="J70" s="26">
        <f>VLOOKUP(D70,'штрафы-карточка'!$E$2:$L$300,4,FALSE)</f>
        <v>0</v>
      </c>
      <c r="K70" s="26">
        <f>VLOOKUP(D70,'штрафы-карточка'!$E$2:$L$300,5,FALSE)</f>
        <v>0</v>
      </c>
      <c r="L70" s="26">
        <f>VLOOKUP(D70,'штрафы-карточка'!$E$2:$L$300,6,FALSE)</f>
        <v>0</v>
      </c>
      <c r="M70" s="26">
        <f>VLOOKUP(D70,'штрафы-карточка'!$E$2:$L$300,7,FALSE)</f>
        <v>0</v>
      </c>
      <c r="N70" s="26">
        <f>VLOOKUP(D70,'штрафы-карточка'!$E$2:$L$300,8,FALSE)</f>
        <v>0</v>
      </c>
      <c r="O70" s="61">
        <f>E70-F70+TIME(0,G70,0)+TIME(0,H70,0)+TIME(0,I70,0)+TIME(0,J70,0)+TIME(0,K70,0)+TIME(0,L70,0)+TIME(0,M70,0)+TIME(0,N70,0)</f>
        <v>0.532800925925926</v>
      </c>
      <c r="P70" s="49">
        <v>0.011932870370370371</v>
      </c>
      <c r="Q70" s="57">
        <v>0.3605092592592593</v>
      </c>
      <c r="R70" s="49">
        <v>0.15774305555555554</v>
      </c>
      <c r="S70" s="49">
        <v>0.2557986111111111</v>
      </c>
      <c r="T70" s="57">
        <v>0.25600694444444444</v>
      </c>
      <c r="U70" s="57">
        <v>0.2868634259259259</v>
      </c>
      <c r="V70" s="49">
        <v>0.29877314814814815</v>
      </c>
      <c r="W70" s="49">
        <v>0.3017361111111111</v>
      </c>
      <c r="X70" s="49">
        <v>0.303587962962963</v>
      </c>
      <c r="Y70" s="57">
        <v>0.3263078703703704</v>
      </c>
      <c r="Z70" s="57">
        <v>0.3270486111111111</v>
      </c>
      <c r="AA70" s="57">
        <v>0.3292939814814815</v>
      </c>
      <c r="AB70" s="49">
        <v>0.13064814814814815</v>
      </c>
      <c r="AC70" s="49">
        <v>0.13064814814814815</v>
      </c>
      <c r="AD70" s="49">
        <v>0.13346064814814815</v>
      </c>
      <c r="AE70" s="57">
        <v>0.07349537037037036</v>
      </c>
      <c r="AF70" s="57">
        <v>0.11450231481481482</v>
      </c>
      <c r="AG70" s="57">
        <v>0.11543981481481481</v>
      </c>
      <c r="AH70" s="49">
        <v>0.0416666666666667</v>
      </c>
      <c r="AI70" s="57">
        <v>0.4041666666666666</v>
      </c>
      <c r="AJ70" s="57">
        <v>0.4119675925925926</v>
      </c>
      <c r="AK70" s="49">
        <v>0.4184722222222222</v>
      </c>
      <c r="AL70" s="57">
        <v>0.3696759259259259</v>
      </c>
      <c r="AM70" s="57">
        <v>0.3696759259259259</v>
      </c>
      <c r="AN70" s="57">
        <v>0.3714236111111111</v>
      </c>
      <c r="AO70" s="49">
        <v>0.38417824074074075</v>
      </c>
      <c r="AP70" s="49">
        <v>0.38417824074074075</v>
      </c>
      <c r="AQ70" s="49">
        <v>0.3857291666666667</v>
      </c>
      <c r="AR70" s="57">
        <v>0.3506134259259259</v>
      </c>
      <c r="AS70" s="57">
        <v>0.3506134259259259</v>
      </c>
      <c r="AT70" s="57">
        <v>0.35664351851851855</v>
      </c>
      <c r="AU70" s="39"/>
      <c r="AV70" s="39"/>
      <c r="AW70" s="39"/>
      <c r="AX70" s="39"/>
    </row>
    <row r="71" spans="1:50" ht="13.5">
      <c r="A71" s="23" t="s">
        <v>25</v>
      </c>
      <c r="B71" s="21" t="s">
        <v>263</v>
      </c>
      <c r="C71" s="22" t="s">
        <v>310</v>
      </c>
      <c r="D71" s="23" t="s">
        <v>118</v>
      </c>
      <c r="E71" s="23" t="s">
        <v>311</v>
      </c>
      <c r="F71" s="24">
        <f t="shared" si="4"/>
        <v>0.03401620370370373</v>
      </c>
      <c r="G71" s="25">
        <f>(5-COUNT(V71,Y71,AB71,AE71,AH71))*'штрафы-карточка'!$B$4+(4-COUNT(AK71,AL71,AO71,AR71))*'штрафы-карточка'!$B$5+(7-COUNT(X71,AA71,AD71,AG71,AN71,AQ71,AT71))*'штрафы-карточка'!$B$3</f>
        <v>0</v>
      </c>
      <c r="H71" s="26">
        <f>VLOOKUP(D71,'штрафы-карточка'!$E$2:$L$300,2,FALSE)</f>
        <v>30</v>
      </c>
      <c r="I71" s="26">
        <f>VLOOKUP(D71,'штрафы-карточка'!$E$2:$L$300,3,FALSE)</f>
        <v>60</v>
      </c>
      <c r="J71" s="26">
        <f>VLOOKUP(D71,'штрафы-карточка'!$E$2:$L$300,4,FALSE)</f>
        <v>0</v>
      </c>
      <c r="K71" s="26">
        <f>VLOOKUP(D71,'штрафы-карточка'!$E$2:$L$300,5,FALSE)</f>
        <v>0</v>
      </c>
      <c r="L71" s="26">
        <f>VLOOKUP(D71,'штрафы-карточка'!$E$2:$L$300,6,FALSE)</f>
        <v>210</v>
      </c>
      <c r="M71" s="26">
        <f>VLOOKUP(D71,'штрафы-карточка'!$E$2:$L$300,7,FALSE)</f>
        <v>0</v>
      </c>
      <c r="N71" s="26">
        <f>VLOOKUP(D71,'штрафы-карточка'!$E$2:$L$300,8,FALSE)</f>
        <v>0</v>
      </c>
      <c r="O71" s="61">
        <f>E71-F71+TIME(0,G71,0)+TIME(0,H71,0)+TIME(0,I71,0)+TIME(0,J71,0)+TIME(0,K71,0)+TIME(0,L71,0)+TIME(0,M71,0)+TIME(0,N71,0)</f>
        <v>0.5991782407407408</v>
      </c>
      <c r="P71" s="49">
        <v>0.010011574074074074</v>
      </c>
      <c r="Q71" s="57">
        <v>0.3003356481481481</v>
      </c>
      <c r="R71" s="49">
        <v>0.17255787037037038</v>
      </c>
      <c r="S71" s="49">
        <v>0.24078703703703705</v>
      </c>
      <c r="T71" s="57">
        <v>0.12961805555555556</v>
      </c>
      <c r="U71" s="57">
        <v>0.16244212962962964</v>
      </c>
      <c r="V71" s="49">
        <v>0.25415509259259256</v>
      </c>
      <c r="W71" s="49">
        <v>0.25871527777777775</v>
      </c>
      <c r="X71" s="49">
        <v>0.25960648148148147</v>
      </c>
      <c r="Y71" s="57">
        <v>0.09241898148148148</v>
      </c>
      <c r="Z71" s="57">
        <v>0.09390046296296296</v>
      </c>
      <c r="AA71" s="57">
        <v>0.09651620370370372</v>
      </c>
      <c r="AB71" s="49">
        <v>0.10322916666666666</v>
      </c>
      <c r="AC71" s="49">
        <v>0.10322916666666666</v>
      </c>
      <c r="AD71" s="49">
        <v>0.10467592592592594</v>
      </c>
      <c r="AE71" s="57">
        <v>0.058611111111111114</v>
      </c>
      <c r="AF71" s="57">
        <v>0.07762731481481482</v>
      </c>
      <c r="AG71" s="57">
        <v>0.07917824074074074</v>
      </c>
      <c r="AH71" s="49">
        <v>0.0416666666666667</v>
      </c>
      <c r="AI71" s="57">
        <v>0.35346064814814815</v>
      </c>
      <c r="AJ71" s="57">
        <v>0.3632638888888889</v>
      </c>
      <c r="AK71" s="49">
        <v>0.36761574074074077</v>
      </c>
      <c r="AL71" s="57">
        <v>0.3125</v>
      </c>
      <c r="AM71" s="57">
        <v>0.3125</v>
      </c>
      <c r="AN71" s="57">
        <v>0.3141203703703704</v>
      </c>
      <c r="AO71" s="49">
        <v>0.4048611111111111</v>
      </c>
      <c r="AP71" s="49">
        <v>0.41381944444444446</v>
      </c>
      <c r="AQ71" s="49">
        <v>0.415625</v>
      </c>
      <c r="AR71" s="57">
        <v>0.29334490740740743</v>
      </c>
      <c r="AS71" s="57">
        <v>0.29334490740740743</v>
      </c>
      <c r="AT71" s="57">
        <v>0.2969791666666667</v>
      </c>
      <c r="AU71" s="39"/>
      <c r="AV71" s="39"/>
      <c r="AW71" s="39"/>
      <c r="AX71" s="39"/>
    </row>
    <row r="72" spans="1:50" ht="13.5">
      <c r="A72" s="23" t="s">
        <v>26</v>
      </c>
      <c r="B72" s="21" t="s">
        <v>263</v>
      </c>
      <c r="C72" s="22" t="s">
        <v>340</v>
      </c>
      <c r="D72" s="23" t="s">
        <v>102</v>
      </c>
      <c r="E72" s="23" t="s">
        <v>341</v>
      </c>
      <c r="F72" s="24">
        <f t="shared" si="4"/>
        <v>0.0034027777777777546</v>
      </c>
      <c r="G72" s="25">
        <f>(5-COUNT(V72,Y72,AB72,AE72,AH72))*'штрафы-карточка'!$B$4+(4-COUNT(AK72,AL72,AO72,AR72))*'штрафы-карточка'!$B$5+(7-COUNT(X72,AA72,AD72,AG72,AN72,AQ72,AT72))*'штрафы-карточка'!$B$3</f>
        <v>0</v>
      </c>
      <c r="H72" s="26">
        <f>VLOOKUP(D72,'штрафы-карточка'!$E$2:$L$300,2,FALSE)</f>
        <v>0</v>
      </c>
      <c r="I72" s="26">
        <f>VLOOKUP(D72,'штрафы-карточка'!$E$2:$L$300,3,FALSE)</f>
        <v>0</v>
      </c>
      <c r="J72" s="26">
        <f>VLOOKUP(D72,'штрафы-карточка'!$E$2:$L$300,4,FALSE)</f>
        <v>0</v>
      </c>
      <c r="K72" s="26">
        <f>VLOOKUP(D72,'штрафы-карточка'!$E$2:$L$300,5,FALSE)</f>
        <v>360</v>
      </c>
      <c r="L72" s="26">
        <f>VLOOKUP(D72,'штрафы-карточка'!$E$2:$L$300,6,FALSE)</f>
        <v>0</v>
      </c>
      <c r="M72" s="26">
        <f>VLOOKUP(D72,'штрафы-карточка'!$E$2:$L$300,7,FALSE)</f>
        <v>0</v>
      </c>
      <c r="N72" s="26">
        <f>VLOOKUP(D72,'штрафы-карточка'!$E$2:$L$300,8,FALSE)</f>
        <v>0</v>
      </c>
      <c r="O72" s="61">
        <f>E72-F72+TIME(0,G72,0)+TIME(0,H72,0)+TIME(0,I72,0)+TIME(0,J72,0)+TIME(0,K72,0)+TIME(0,L72,0)+TIME(0,M72,0)+TIME(0,N72,0)</f>
        <v>0.665162037037037</v>
      </c>
      <c r="P72" s="49">
        <v>0.011956018518518517</v>
      </c>
      <c r="Q72" s="57">
        <v>0.2811342592592592</v>
      </c>
      <c r="R72" s="49">
        <v>0.06598379629629629</v>
      </c>
      <c r="S72" s="49">
        <v>0.14255787037037038</v>
      </c>
      <c r="T72" s="57"/>
      <c r="U72" s="57"/>
      <c r="V72" s="49">
        <v>0.044363425925925924</v>
      </c>
      <c r="W72" s="49">
        <v>0.04776620370370371</v>
      </c>
      <c r="X72" s="49">
        <v>0.04958333333333333</v>
      </c>
      <c r="Y72" s="57">
        <v>0.18078703703703702</v>
      </c>
      <c r="Z72" s="57">
        <v>0.18078703703703702</v>
      </c>
      <c r="AA72" s="57">
        <v>0.18604166666666666</v>
      </c>
      <c r="AB72" s="49">
        <v>0.16998842592592592</v>
      </c>
      <c r="AC72" s="49">
        <v>0.16998842592592592</v>
      </c>
      <c r="AD72" s="49">
        <v>0.17162037037037037</v>
      </c>
      <c r="AE72" s="57">
        <v>0.2119791666666667</v>
      </c>
      <c r="AF72" s="57">
        <v>0.2119791666666667</v>
      </c>
      <c r="AG72" s="57">
        <v>0.21315972222222224</v>
      </c>
      <c r="AH72" s="49">
        <v>0.0416666666666667</v>
      </c>
      <c r="AI72" s="57">
        <v>0.3482407407407407</v>
      </c>
      <c r="AJ72" s="57">
        <v>0.3622569444444444</v>
      </c>
      <c r="AK72" s="49">
        <v>0.3680555555555556</v>
      </c>
      <c r="AL72" s="57">
        <v>0.29216435185185186</v>
      </c>
      <c r="AM72" s="57">
        <v>0.29216435185185186</v>
      </c>
      <c r="AN72" s="57">
        <v>0.29378472222222224</v>
      </c>
      <c r="AO72" s="49">
        <v>0.30712962962962964</v>
      </c>
      <c r="AP72" s="49">
        <v>0.30712962962962964</v>
      </c>
      <c r="AQ72" s="49">
        <v>0.3089351851851852</v>
      </c>
      <c r="AR72" s="57">
        <v>0.27231481481481484</v>
      </c>
      <c r="AS72" s="57">
        <v>0.27231481481481484</v>
      </c>
      <c r="AT72" s="57">
        <v>0.27761574074074075</v>
      </c>
      <c r="AU72" s="39"/>
      <c r="AV72" s="39"/>
      <c r="AW72" s="39"/>
      <c r="AX72" s="39"/>
    </row>
    <row r="73" spans="1:50" ht="13.5">
      <c r="A73" s="23" t="s">
        <v>27</v>
      </c>
      <c r="B73" s="21" t="s">
        <v>263</v>
      </c>
      <c r="C73" s="22" t="s">
        <v>394</v>
      </c>
      <c r="D73" s="23" t="s">
        <v>111</v>
      </c>
      <c r="E73" s="23" t="s">
        <v>395</v>
      </c>
      <c r="F73" s="24">
        <f t="shared" si="4"/>
        <v>0.039201388888888855</v>
      </c>
      <c r="G73" s="25">
        <f>(5-COUNT(V73,Y73,AB73,AE73,AH73))*'штрафы-карточка'!$B$4+(4-COUNT(AK73,AL73,AO73,AR73))*'штрафы-карточка'!$B$5+(7-COUNT(X73,AA73,AD73,AG73,AN73,AQ73,AT73))*'штрафы-карточка'!$B$3</f>
        <v>300</v>
      </c>
      <c r="H73" s="26">
        <f>VLOOKUP(D73,'штрафы-карточка'!$E$2:$L$300,2,FALSE)</f>
        <v>210</v>
      </c>
      <c r="I73" s="26">
        <f>VLOOKUP(D73,'штрафы-карточка'!$E$2:$L$300,3,FALSE)</f>
        <v>0</v>
      </c>
      <c r="J73" s="26">
        <f>VLOOKUP(D73,'штрафы-карточка'!$E$2:$L$300,4,FALSE)</f>
        <v>0</v>
      </c>
      <c r="K73" s="26">
        <f>VLOOKUP(D73,'штрафы-карточка'!$E$2:$L$300,5,FALSE)</f>
        <v>0</v>
      </c>
      <c r="L73" s="26">
        <f>VLOOKUP(D73,'штрафы-карточка'!$E$2:$L$300,6,FALSE)</f>
        <v>0</v>
      </c>
      <c r="M73" s="26">
        <f>VLOOKUP(D73,'штрафы-карточка'!$E$2:$L$300,7,FALSE)</f>
        <v>30</v>
      </c>
      <c r="N73" s="26">
        <f>VLOOKUP(D73,'штрафы-карточка'!$E$2:$L$300,8,FALSE)</f>
        <v>120</v>
      </c>
      <c r="O73" s="61">
        <f>E73-F73+TIME(0,G73,0)+TIME(0,H73,0)+TIME(0,I73,0)+TIME(0,J73,0)+TIME(0,K73,0)+TIME(0,L73,0)+TIME(0,M73,0)+TIME(0,N73,0)</f>
        <v>0.8726620370370373</v>
      </c>
      <c r="P73" s="49">
        <v>0.009571759259259259</v>
      </c>
      <c r="Q73" s="57">
        <v>0.3524189814814815</v>
      </c>
      <c r="R73" s="49">
        <v>0.20778935185185185</v>
      </c>
      <c r="S73" s="49">
        <v>0.2903703703703704</v>
      </c>
      <c r="T73" s="57">
        <v>0.16480324074074074</v>
      </c>
      <c r="U73" s="57">
        <v>0.20439814814814816</v>
      </c>
      <c r="V73" s="49">
        <v>0.14774305555555556</v>
      </c>
      <c r="W73" s="49">
        <v>0.14774305555555556</v>
      </c>
      <c r="X73" s="49">
        <v>0.15091435185185184</v>
      </c>
      <c r="Y73" s="57">
        <v>0.29996527777777776</v>
      </c>
      <c r="Z73" s="57">
        <v>0.29996527777777776</v>
      </c>
      <c r="AA73" s="57">
        <v>0.30453703703703705</v>
      </c>
      <c r="AB73" s="49">
        <v>0.321712962962963</v>
      </c>
      <c r="AC73" s="49">
        <v>0.321712962962963</v>
      </c>
      <c r="AD73" s="49">
        <v>0.3234490740740741</v>
      </c>
      <c r="AE73" s="57">
        <v>0.06585648148148149</v>
      </c>
      <c r="AF73" s="57">
        <v>0.10505787037037036</v>
      </c>
      <c r="AG73" s="57">
        <v>0.10700231481481481</v>
      </c>
      <c r="AH73" s="49">
        <v>0.0416666666666667</v>
      </c>
      <c r="AI73" s="57">
        <v>0.41474537037037035</v>
      </c>
      <c r="AJ73" s="57">
        <v>0.4231481481481481</v>
      </c>
      <c r="AK73" s="49">
        <v>0.40665509259259264</v>
      </c>
      <c r="AL73" s="57"/>
      <c r="AM73" s="57"/>
      <c r="AN73" s="57"/>
      <c r="AO73" s="49"/>
      <c r="AP73" s="49"/>
      <c r="AQ73" s="49"/>
      <c r="AR73" s="57">
        <v>0.3422800925925926</v>
      </c>
      <c r="AS73" s="57">
        <v>0.3422800925925926</v>
      </c>
      <c r="AT73" s="57">
        <v>0.3477662037037037</v>
      </c>
      <c r="AU73" s="39"/>
      <c r="AV73" s="39"/>
      <c r="AW73" s="39"/>
      <c r="AX73" s="39"/>
    </row>
    <row r="74" spans="1:50" ht="13.5">
      <c r="A74" s="23" t="s">
        <v>28</v>
      </c>
      <c r="B74" s="21" t="s">
        <v>263</v>
      </c>
      <c r="C74" s="22" t="s">
        <v>348</v>
      </c>
      <c r="D74" s="23" t="s">
        <v>113</v>
      </c>
      <c r="E74" s="23" t="s">
        <v>349</v>
      </c>
      <c r="F74" s="24">
        <f t="shared" si="4"/>
        <v>0.04784722222222226</v>
      </c>
      <c r="G74" s="25">
        <f>(5-COUNT(V74,Y74,AB74,AE74,AH74))*'штрафы-карточка'!$B$4+(4-COUNT(AK74,AL74,AO74,AR74))*'штрафы-карточка'!$B$5+(7-COUNT(X74,AA74,AD74,AG74,AN74,AQ74,AT74))*'штрафы-карточка'!$B$3</f>
        <v>30</v>
      </c>
      <c r="H74" s="26">
        <f>VLOOKUP(D74,'штрафы-карточка'!$E$2:$L$300,2,FALSE)</f>
        <v>600</v>
      </c>
      <c r="I74" s="26">
        <f>VLOOKUP(D74,'штрафы-карточка'!$E$2:$L$300,3,FALSE)</f>
        <v>0</v>
      </c>
      <c r="J74" s="26">
        <f>VLOOKUP(D74,'штрафы-карточка'!$E$2:$L$300,4,FALSE)</f>
        <v>0</v>
      </c>
      <c r="K74" s="26">
        <f>VLOOKUP(D74,'штрафы-карточка'!$E$2:$L$300,5,FALSE)</f>
        <v>0</v>
      </c>
      <c r="L74" s="26">
        <f>VLOOKUP(D74,'штрафы-карточка'!$E$2:$L$300,6,FALSE)</f>
        <v>0</v>
      </c>
      <c r="M74" s="26">
        <f>VLOOKUP(D74,'штрафы-карточка'!$E$2:$L$300,7,FALSE)</f>
        <v>150</v>
      </c>
      <c r="N74" s="26">
        <f>VLOOKUP(D74,'штрафы-карточка'!$E$2:$L$300,8,FALSE)</f>
        <v>0</v>
      </c>
      <c r="O74" s="61">
        <f>E74-F74+TIME(0,G74,0)+TIME(0,H74,0)+TIME(0,I74,0)+TIME(0,J74,0)+TIME(0,K74,0)+TIME(0,L74,0)+TIME(0,M74,0)+TIME(0,N74,0)</f>
        <v>0.9419791666666666</v>
      </c>
      <c r="P74" s="49">
        <v>0.008402777777777778</v>
      </c>
      <c r="Q74" s="57">
        <v>0.3799305555555556</v>
      </c>
      <c r="R74" s="49">
        <v>0.1865740740740741</v>
      </c>
      <c r="S74" s="49">
        <v>0.2848726851851852</v>
      </c>
      <c r="T74" s="57">
        <v>0.14694444444444446</v>
      </c>
      <c r="U74" s="57">
        <v>0.18368055555555554</v>
      </c>
      <c r="V74" s="49">
        <v>0.3024074074074074</v>
      </c>
      <c r="W74" s="49">
        <v>0.3088310185185185</v>
      </c>
      <c r="X74" s="49">
        <v>0.3097337962962963</v>
      </c>
      <c r="Y74" s="57">
        <v>0.3482407407407407</v>
      </c>
      <c r="Z74" s="57">
        <v>0.3482407407407407</v>
      </c>
      <c r="AA74" s="57">
        <v>0.35033564814814816</v>
      </c>
      <c r="AB74" s="49">
        <v>0.12666666666666668</v>
      </c>
      <c r="AC74" s="49">
        <v>0.12666666666666668</v>
      </c>
      <c r="AD74" s="49">
        <v>0.12796296296296297</v>
      </c>
      <c r="AE74" s="57">
        <v>0.06635416666666666</v>
      </c>
      <c r="AF74" s="57">
        <v>0.10777777777777779</v>
      </c>
      <c r="AG74" s="57">
        <v>0.10894675925925927</v>
      </c>
      <c r="AH74" s="49">
        <v>0.0416666666666667</v>
      </c>
      <c r="AI74" s="57"/>
      <c r="AJ74" s="57"/>
      <c r="AK74" s="49"/>
      <c r="AL74" s="57">
        <v>0.39168981481481485</v>
      </c>
      <c r="AM74" s="57">
        <v>0.39168981481481485</v>
      </c>
      <c r="AN74" s="57">
        <v>0.3933333333333333</v>
      </c>
      <c r="AO74" s="49">
        <v>0.4043402777777778</v>
      </c>
      <c r="AP74" s="49">
        <v>0.4043402777777778</v>
      </c>
      <c r="AQ74" s="49">
        <v>0.40556712962962965</v>
      </c>
      <c r="AR74" s="57">
        <v>0.372037037037037</v>
      </c>
      <c r="AS74" s="57">
        <v>0.372037037037037</v>
      </c>
      <c r="AT74" s="57">
        <v>0.37578703703703703</v>
      </c>
      <c r="AU74" s="39"/>
      <c r="AV74" s="39"/>
      <c r="AW74" s="39"/>
      <c r="AX74" s="39"/>
    </row>
    <row r="75" spans="1:50" ht="13.5">
      <c r="A75" s="23" t="s">
        <v>29</v>
      </c>
      <c r="B75" s="21" t="s">
        <v>263</v>
      </c>
      <c r="C75" s="22" t="s">
        <v>372</v>
      </c>
      <c r="D75" s="23" t="s">
        <v>110</v>
      </c>
      <c r="E75" s="23" t="s">
        <v>373</v>
      </c>
      <c r="F75" s="24">
        <f t="shared" si="4"/>
        <v>0.04670138888888892</v>
      </c>
      <c r="G75" s="25">
        <f>(5-COUNT(V75,Y75,AB75,AE75,AH75))*'штрафы-карточка'!$B$4+(4-COUNT(AK75,AL75,AO75,AR75))*'штрафы-карточка'!$B$5+(7-COUNT(X75,AA75,AD75,AG75,AN75,AQ75,AT75))*'штрафы-карточка'!$B$3</f>
        <v>150</v>
      </c>
      <c r="H75" s="26">
        <f>VLOOKUP(D75,'штрафы-карточка'!$E$2:$L$300,2,FALSE)</f>
        <v>660</v>
      </c>
      <c r="I75" s="26">
        <f>VLOOKUP(D75,'штрафы-карточка'!$E$2:$L$300,3,FALSE)</f>
        <v>0</v>
      </c>
      <c r="J75" s="26">
        <f>VLOOKUP(D75,'штрафы-карточка'!$E$2:$L$300,4,FALSE)</f>
        <v>0</v>
      </c>
      <c r="K75" s="26">
        <f>VLOOKUP(D75,'штрафы-карточка'!$E$2:$L$300,5,FALSE)</f>
        <v>0</v>
      </c>
      <c r="L75" s="26">
        <f>VLOOKUP(D75,'штрафы-карточка'!$E$2:$L$300,6,FALSE)</f>
        <v>0</v>
      </c>
      <c r="M75" s="26">
        <f>VLOOKUP(D75,'штрафы-карточка'!$E$2:$L$300,7,FALSE)</f>
        <v>150</v>
      </c>
      <c r="N75" s="26">
        <f>VLOOKUP(D75,'штрафы-карточка'!$E$2:$L$300,8,FALSE)</f>
        <v>0</v>
      </c>
      <c r="O75" s="61">
        <f>E75-F75+TIME(0,G75,0)+TIME(0,H75,0)+TIME(0,I75,0)+TIME(0,J75,0)+TIME(0,K75,0)+TIME(0,L75,0)+TIME(0,M75,0)+TIME(0,N75,0)</f>
        <v>1.0665625</v>
      </c>
      <c r="P75" s="49">
        <v>0.014432870370370372</v>
      </c>
      <c r="Q75" s="57">
        <v>0.3759143518518519</v>
      </c>
      <c r="R75" s="49">
        <v>0.18013888888888888</v>
      </c>
      <c r="S75" s="49">
        <v>0.2882060185185185</v>
      </c>
      <c r="T75" s="57">
        <v>0.2900347222222222</v>
      </c>
      <c r="U75" s="57">
        <v>0.3272337962962963</v>
      </c>
      <c r="V75" s="49">
        <v>0.16167824074074075</v>
      </c>
      <c r="W75" s="49">
        <v>0.16167824074074075</v>
      </c>
      <c r="X75" s="49">
        <v>0.16354166666666667</v>
      </c>
      <c r="Y75" s="57">
        <v>0.12649305555555554</v>
      </c>
      <c r="Z75" s="57">
        <v>0.12916666666666668</v>
      </c>
      <c r="AA75" s="57"/>
      <c r="AB75" s="49">
        <v>0.3439699074074074</v>
      </c>
      <c r="AC75" s="49">
        <v>0.3439699074074074</v>
      </c>
      <c r="AD75" s="49">
        <v>0.3453125</v>
      </c>
      <c r="AE75" s="57">
        <v>0.06798611111111111</v>
      </c>
      <c r="AF75" s="57">
        <v>0.1120138888888889</v>
      </c>
      <c r="AG75" s="57">
        <v>0.11287037037037036</v>
      </c>
      <c r="AH75" s="49">
        <v>0.0416666666666667</v>
      </c>
      <c r="AI75" s="57"/>
      <c r="AJ75" s="57"/>
      <c r="AK75" s="49"/>
      <c r="AL75" s="57">
        <v>0.3894560185185185</v>
      </c>
      <c r="AM75" s="57">
        <v>0.3894560185185185</v>
      </c>
      <c r="AN75" s="57">
        <v>0.3918055555555555</v>
      </c>
      <c r="AO75" s="49">
        <v>0.4073611111111111</v>
      </c>
      <c r="AP75" s="49">
        <v>0.4073611111111111</v>
      </c>
      <c r="AQ75" s="49">
        <v>0.40923611111111113</v>
      </c>
      <c r="AR75" s="57">
        <v>0.3654861111111111</v>
      </c>
      <c r="AS75" s="57">
        <v>0.3654861111111111</v>
      </c>
      <c r="AT75" s="57">
        <v>0.37146990740740743</v>
      </c>
      <c r="AU75" s="39"/>
      <c r="AV75" s="39"/>
      <c r="AW75" s="39"/>
      <c r="AX75" s="39"/>
    </row>
    <row r="76" spans="1:50" ht="13.5">
      <c r="A76" s="23" t="s">
        <v>30</v>
      </c>
      <c r="B76" s="21" t="s">
        <v>263</v>
      </c>
      <c r="C76" s="22" t="s">
        <v>386</v>
      </c>
      <c r="D76" s="23" t="s">
        <v>123</v>
      </c>
      <c r="E76" s="23" t="s">
        <v>387</v>
      </c>
      <c r="F76" s="24">
        <f t="shared" si="4"/>
        <v>0.01416666666666666</v>
      </c>
      <c r="G76" s="25">
        <f>(5-COUNT(V76,Y76,AB76,AE76,AH76))*'штрафы-карточка'!$B$4+(4-COUNT(AK76,AL76,AO76,AR76))*'штрафы-карточка'!$B$5+(7-COUNT(X76,AA76,AD76,AG76,AN76,AQ76,AT76))*'штрафы-карточка'!$B$3</f>
        <v>180</v>
      </c>
      <c r="H76" s="26">
        <f>VLOOKUP(D76,'штрафы-карточка'!$E$2:$L$300,2,FALSE)</f>
        <v>780</v>
      </c>
      <c r="I76" s="26">
        <f>VLOOKUP(D76,'штрафы-карточка'!$E$2:$L$300,3,FALSE)</f>
        <v>0</v>
      </c>
      <c r="J76" s="26">
        <f>VLOOKUP(D76,'штрафы-карточка'!$E$2:$L$300,4,FALSE)</f>
        <v>0</v>
      </c>
      <c r="K76" s="26">
        <f>VLOOKUP(D76,'штрафы-карточка'!$E$2:$L$300,5,FALSE)</f>
        <v>0</v>
      </c>
      <c r="L76" s="26">
        <f>VLOOKUP(D76,'штрафы-карточка'!$E$2:$L$300,6,FALSE)</f>
        <v>0</v>
      </c>
      <c r="M76" s="26">
        <f>VLOOKUP(D76,'штрафы-карточка'!$E$2:$L$300,7,FALSE)</f>
        <v>150</v>
      </c>
      <c r="N76" s="26">
        <f>VLOOKUP(D76,'штрафы-карточка'!$E$2:$L$300,8,FALSE)</f>
        <v>30</v>
      </c>
      <c r="O76" s="61">
        <f>E76-F76+TIME(0,G76,0)+TIME(0,H76,0)+TIME(0,I76,0)+TIME(0,J76,0)+TIME(0,K76,0)+TIME(0,L76,0)+TIME(0,M76,0)+TIME(0,N76,0)</f>
        <v>1.2272685185185184</v>
      </c>
      <c r="P76" s="49">
        <v>0.01207175925925926</v>
      </c>
      <c r="Q76" s="57">
        <v>0.4194097222222222</v>
      </c>
      <c r="R76" s="49">
        <v>0.08454861111111112</v>
      </c>
      <c r="S76" s="49">
        <v>0.17577546296296298</v>
      </c>
      <c r="T76" s="57">
        <v>0.17592592592592593</v>
      </c>
      <c r="U76" s="57">
        <v>0.23511574074074074</v>
      </c>
      <c r="V76" s="49">
        <v>0.054641203703703706</v>
      </c>
      <c r="W76" s="49">
        <v>0.06440972222222223</v>
      </c>
      <c r="X76" s="49">
        <v>0.06597222222222222</v>
      </c>
      <c r="Y76" s="57">
        <v>0.29130787037037037</v>
      </c>
      <c r="Z76" s="57">
        <v>0.29269675925925925</v>
      </c>
      <c r="AA76" s="57">
        <v>0.2967592592592592</v>
      </c>
      <c r="AB76" s="49">
        <v>0.28122685185185187</v>
      </c>
      <c r="AC76" s="49">
        <v>0.28122685185185187</v>
      </c>
      <c r="AD76" s="49">
        <v>0.2833101851851852</v>
      </c>
      <c r="AE76" s="57">
        <v>0.3279861111111111</v>
      </c>
      <c r="AF76" s="57">
        <v>0.33099537037037036</v>
      </c>
      <c r="AG76" s="57">
        <v>0.33241898148148147</v>
      </c>
      <c r="AH76" s="49">
        <v>0.0416666666666667</v>
      </c>
      <c r="AI76" s="57"/>
      <c r="AJ76" s="57"/>
      <c r="AK76" s="49"/>
      <c r="AL76" s="57">
        <v>0.42792824074074076</v>
      </c>
      <c r="AM76" s="57">
        <v>0.42792824074074076</v>
      </c>
      <c r="AN76" s="57">
        <v>0.4309953703703704</v>
      </c>
      <c r="AO76" s="49"/>
      <c r="AP76" s="49"/>
      <c r="AQ76" s="49"/>
      <c r="AR76" s="57">
        <v>0.3988541666666667</v>
      </c>
      <c r="AS76" s="57">
        <v>0.3988541666666667</v>
      </c>
      <c r="AT76" s="57">
        <v>0.40474537037037034</v>
      </c>
      <c r="AU76" s="39"/>
      <c r="AV76" s="39"/>
      <c r="AW76" s="39"/>
      <c r="AX76" s="39"/>
    </row>
    <row r="77" spans="1:50" ht="13.5">
      <c r="A77" s="23" t="s">
        <v>31</v>
      </c>
      <c r="B77" s="21" t="s">
        <v>263</v>
      </c>
      <c r="C77" s="22" t="s">
        <v>374</v>
      </c>
      <c r="D77" s="23" t="s">
        <v>178</v>
      </c>
      <c r="E77" s="23" t="s">
        <v>375</v>
      </c>
      <c r="F77" s="24">
        <f t="shared" si="4"/>
        <v>0.02059027777777772</v>
      </c>
      <c r="G77" s="25">
        <f>(5-COUNT(V77,Y77,AB77,AE77,AH77))*'штрафы-карточка'!$B$4+(4-COUNT(AK77,AL77,AO77,AR77))*'штрафы-карточка'!$B$5+(7-COUNT(X77,AA77,AD77,AG77,AN77,AQ77,AT77))*'штрафы-карточка'!$B$3</f>
        <v>330</v>
      </c>
      <c r="H77" s="26">
        <f>VLOOKUP(D77,'штрафы-карточка'!$E$2:$L$300,2,FALSE)</f>
        <v>780</v>
      </c>
      <c r="I77" s="26">
        <f>VLOOKUP(D77,'штрафы-карточка'!$E$2:$L$300,3,FALSE)</f>
        <v>0</v>
      </c>
      <c r="J77" s="26">
        <f>VLOOKUP(D77,'штрафы-карточка'!$E$2:$L$300,4,FALSE)</f>
        <v>0</v>
      </c>
      <c r="K77" s="26">
        <f>VLOOKUP(D77,'штрафы-карточка'!$E$2:$L$300,5,FALSE)</f>
        <v>0</v>
      </c>
      <c r="L77" s="26">
        <f>VLOOKUP(D77,'штрафы-карточка'!$E$2:$L$300,6,FALSE)</f>
        <v>0</v>
      </c>
      <c r="M77" s="26">
        <f>VLOOKUP(D77,'штрафы-карточка'!$E$2:$L$300,7,FALSE)</f>
        <v>150</v>
      </c>
      <c r="N77" s="26">
        <f>VLOOKUP(D77,'штрафы-карточка'!$E$2:$L$300,8,FALSE)</f>
        <v>120</v>
      </c>
      <c r="O77" s="61">
        <f>E77-F77+TIME(0,G77,0)+TIME(0,H77,0)+TIME(0,I77,0)+TIME(0,J77,0)+TIME(0,K77,0)+TIME(0,L77,0)+TIME(0,M77,0)+TIME(0,N77,0)</f>
        <v>1.2339236111111112</v>
      </c>
      <c r="P77" s="49">
        <v>0.008599537037037036</v>
      </c>
      <c r="Q77" s="57">
        <v>0.28847222222222224</v>
      </c>
      <c r="R77" s="49">
        <v>0.14635416666666667</v>
      </c>
      <c r="S77" s="49">
        <v>0.21915509259259258</v>
      </c>
      <c r="T77" s="57">
        <v>0.10333333333333333</v>
      </c>
      <c r="U77" s="57">
        <v>0.14304398148148148</v>
      </c>
      <c r="V77" s="49">
        <v>0.23990740740740743</v>
      </c>
      <c r="W77" s="49">
        <v>0.24047453703703703</v>
      </c>
      <c r="X77" s="49">
        <v>0.24151620370370372</v>
      </c>
      <c r="Y77" s="57">
        <v>0.26453703703703707</v>
      </c>
      <c r="Z77" s="57">
        <v>0.26586805555555554</v>
      </c>
      <c r="AA77" s="57">
        <v>0.2677777777777778</v>
      </c>
      <c r="AB77" s="49">
        <v>0.08893518518518519</v>
      </c>
      <c r="AC77" s="49">
        <v>0.09011574074074075</v>
      </c>
      <c r="AD77" s="49">
        <v>0.09134259259259259</v>
      </c>
      <c r="AE77" s="57">
        <v>0.05853009259259259</v>
      </c>
      <c r="AF77" s="57">
        <v>0.07604166666666666</v>
      </c>
      <c r="AG77" s="57">
        <v>0.07701388888888888</v>
      </c>
      <c r="AH77" s="49">
        <v>0.0416666666666667</v>
      </c>
      <c r="AI77" s="57"/>
      <c r="AJ77" s="57"/>
      <c r="AK77" s="49"/>
      <c r="AL77" s="57"/>
      <c r="AM77" s="57"/>
      <c r="AN77" s="57"/>
      <c r="AO77" s="49"/>
      <c r="AP77" s="49"/>
      <c r="AQ77" s="49"/>
      <c r="AR77" s="57">
        <v>0.28155092592592595</v>
      </c>
      <c r="AS77" s="57">
        <v>0.28155092592592595</v>
      </c>
      <c r="AT77" s="57">
        <v>0.28556712962962966</v>
      </c>
      <c r="AU77" s="39"/>
      <c r="AV77" s="39"/>
      <c r="AW77" s="39"/>
      <c r="AX77" s="39"/>
    </row>
    <row r="78" spans="1:50" ht="13.5">
      <c r="A78" s="23" t="s">
        <v>32</v>
      </c>
      <c r="B78" s="21" t="s">
        <v>263</v>
      </c>
      <c r="C78" s="22" t="s">
        <v>400</v>
      </c>
      <c r="D78" s="23" t="s">
        <v>119</v>
      </c>
      <c r="E78" s="23" t="s">
        <v>401</v>
      </c>
      <c r="F78" s="24">
        <f t="shared" si="4"/>
        <v>0.007708333333333317</v>
      </c>
      <c r="G78" s="25">
        <f>(5-COUNT(V78,Y78,AB78,AE78,AH78))*'штрафы-карточка'!$B$4+(4-COUNT(AK78,AL78,AO78,AR78))*'штрафы-карточка'!$B$5+(7-COUNT(X78,AA78,AD78,AG78,AN78,AQ78,AT78))*'штрафы-карточка'!$B$3</f>
        <v>300</v>
      </c>
      <c r="H78" s="26">
        <f>VLOOKUP(D78,'штрафы-карточка'!$E$2:$L$300,2,FALSE)</f>
        <v>360</v>
      </c>
      <c r="I78" s="26">
        <f>VLOOKUP(D78,'штрафы-карточка'!$E$2:$L$300,3,FALSE)</f>
        <v>0</v>
      </c>
      <c r="J78" s="26">
        <f>VLOOKUP(D78,'штрафы-карточка'!$E$2:$L$300,4,FALSE)</f>
        <v>0</v>
      </c>
      <c r="K78" s="26">
        <f>VLOOKUP(D78,'штрафы-карточка'!$E$2:$L$300,5,FALSE)</f>
        <v>0</v>
      </c>
      <c r="L78" s="26">
        <f>VLOOKUP(D78,'штрафы-карточка'!$E$2:$L$300,6,FALSE)</f>
        <v>300</v>
      </c>
      <c r="M78" s="26">
        <f>VLOOKUP(D78,'штрафы-карточка'!$E$2:$L$300,7,FALSE)</f>
        <v>150</v>
      </c>
      <c r="N78" s="26">
        <f>VLOOKUP(D78,'штрафы-карточка'!$E$2:$L$300,8,FALSE)</f>
        <v>120</v>
      </c>
      <c r="O78" s="61">
        <f>E78-F78+TIME(0,G78,0)+TIME(0,H78,0)+TIME(0,I78,0)+TIME(0,J78,0)+TIME(0,K78,0)+TIME(0,L78,0)+TIME(0,M78,0)+TIME(0,N78,0)</f>
        <v>1.300011574074074</v>
      </c>
      <c r="P78" s="49">
        <v>0.016666666666666666</v>
      </c>
      <c r="Q78" s="57">
        <v>0.37982638888888887</v>
      </c>
      <c r="R78" s="49">
        <v>0.11734953703703704</v>
      </c>
      <c r="S78" s="49">
        <v>0.19091435185185182</v>
      </c>
      <c r="T78" s="57">
        <v>0.057708333333333334</v>
      </c>
      <c r="U78" s="57">
        <v>0.1171875</v>
      </c>
      <c r="V78" s="49">
        <v>0.21658564814814815</v>
      </c>
      <c r="W78" s="49">
        <v>0.2242939814814815</v>
      </c>
      <c r="X78" s="49">
        <v>0.22775462962962964</v>
      </c>
      <c r="Y78" s="57">
        <v>0.2484722222222222</v>
      </c>
      <c r="Z78" s="57">
        <v>0.2484722222222222</v>
      </c>
      <c r="AA78" s="57">
        <v>0.25171296296296297</v>
      </c>
      <c r="AB78" s="49">
        <v>0.2589930555555556</v>
      </c>
      <c r="AC78" s="49">
        <v>0.2589930555555556</v>
      </c>
      <c r="AD78" s="49">
        <v>0.26070601851851855</v>
      </c>
      <c r="AE78" s="57">
        <v>0.30006944444444444</v>
      </c>
      <c r="AF78" s="57">
        <v>0.30006944444444444</v>
      </c>
      <c r="AG78" s="57">
        <v>0.30135416666666665</v>
      </c>
      <c r="AH78" s="49">
        <v>0.0416666666666667</v>
      </c>
      <c r="AI78" s="57"/>
      <c r="AJ78" s="57"/>
      <c r="AK78" s="49">
        <v>0.41747685185185185</v>
      </c>
      <c r="AL78" s="57"/>
      <c r="AM78" s="57"/>
      <c r="AN78" s="57"/>
      <c r="AO78" s="49"/>
      <c r="AP78" s="49"/>
      <c r="AQ78" s="49"/>
      <c r="AR78" s="57">
        <v>0.3675231481481482</v>
      </c>
      <c r="AS78" s="57">
        <v>0.3675231481481482</v>
      </c>
      <c r="AT78" s="57">
        <v>0.3757986111111111</v>
      </c>
      <c r="AU78" s="39"/>
      <c r="AV78" s="39"/>
      <c r="AW78" s="39"/>
      <c r="AX78" s="39"/>
    </row>
    <row r="79" spans="1:50" ht="13.5">
      <c r="A79" s="23" t="s">
        <v>33</v>
      </c>
      <c r="B79" s="21" t="s">
        <v>263</v>
      </c>
      <c r="C79" s="22" t="s">
        <v>406</v>
      </c>
      <c r="D79" s="23" t="s">
        <v>3</v>
      </c>
      <c r="E79" s="23" t="s">
        <v>407</v>
      </c>
      <c r="F79" s="24">
        <f t="shared" si="4"/>
        <v>0.016597222222222235</v>
      </c>
      <c r="G79" s="25">
        <f>(5-COUNT(V79,Y79,AB79,AE79,AH79))*'штрафы-карточка'!$B$4+(4-COUNT(AK79,AL79,AO79,AR79))*'штрафы-карточка'!$B$5+(7-COUNT(X79,AA79,AD79,AG79,AN79,AQ79,AT79))*'штрафы-карточка'!$B$3</f>
        <v>480</v>
      </c>
      <c r="H79" s="26">
        <f>VLOOKUP(D79,'штрафы-карточка'!$E$2:$L$300,2,FALSE)</f>
        <v>780</v>
      </c>
      <c r="I79" s="26">
        <f>VLOOKUP(D79,'штрафы-карточка'!$E$2:$L$300,3,FALSE)</f>
        <v>240</v>
      </c>
      <c r="J79" s="26">
        <f>VLOOKUP(D79,'штрафы-карточка'!$E$2:$L$300,4,FALSE)</f>
        <v>0</v>
      </c>
      <c r="K79" s="26">
        <f>VLOOKUP(D79,'штрафы-карточка'!$E$2:$L$300,5,FALSE)</f>
        <v>0</v>
      </c>
      <c r="L79" s="26">
        <f>VLOOKUP(D79,'штрафы-карточка'!$E$2:$L$300,6,FALSE)</f>
        <v>30</v>
      </c>
      <c r="M79" s="26">
        <f>VLOOKUP(D79,'штрафы-карточка'!$E$2:$L$300,7,FALSE)</f>
        <v>150</v>
      </c>
      <c r="N79" s="26">
        <f>VLOOKUP(D79,'штрафы-карточка'!$E$2:$L$300,8,FALSE)</f>
        <v>120</v>
      </c>
      <c r="O79" s="61">
        <f>E79-F79+TIME(0,G79,0)+TIME(0,H79,0)+TIME(0,I79,0)+TIME(0,J79,0)+TIME(0,K79,0)+TIME(0,L79,0)+TIME(0,M79,0)+TIME(0,N79,0)</f>
        <v>1.59875</v>
      </c>
      <c r="P79" s="49">
        <v>0.007685185185185185</v>
      </c>
      <c r="Q79" s="57"/>
      <c r="R79" s="49">
        <v>0.1698263888888889</v>
      </c>
      <c r="S79" s="49">
        <v>0.255</v>
      </c>
      <c r="T79" s="57">
        <v>0.1373263888888889</v>
      </c>
      <c r="U79" s="57">
        <v>0.16491898148148149</v>
      </c>
      <c r="V79" s="49">
        <v>0.34594907407407405</v>
      </c>
      <c r="W79" s="49">
        <v>0.3475462962962963</v>
      </c>
      <c r="X79" s="49">
        <v>0.34858796296296296</v>
      </c>
      <c r="Y79" s="57">
        <v>0.27519675925925924</v>
      </c>
      <c r="Z79" s="57">
        <v>0.2766782407407407</v>
      </c>
      <c r="AA79" s="57">
        <v>0.2809259259259259</v>
      </c>
      <c r="AB79" s="49">
        <v>0.0860763888888889</v>
      </c>
      <c r="AC79" s="49">
        <v>0.08680555555555557</v>
      </c>
      <c r="AD79" s="49">
        <v>0.08793981481481482</v>
      </c>
      <c r="AE79" s="57">
        <v>0.05606481481481482</v>
      </c>
      <c r="AF79" s="57">
        <v>0.06885416666666666</v>
      </c>
      <c r="AG79" s="57">
        <v>0.07001157407407409</v>
      </c>
      <c r="AH79" s="49">
        <v>0.0416666666666667</v>
      </c>
      <c r="AI79" s="57"/>
      <c r="AJ79" s="57"/>
      <c r="AK79" s="49"/>
      <c r="AL79" s="57"/>
      <c r="AM79" s="57"/>
      <c r="AN79" s="57"/>
      <c r="AO79" s="49"/>
      <c r="AP79" s="49"/>
      <c r="AQ79" s="49"/>
      <c r="AR79" s="57"/>
      <c r="AS79" s="57"/>
      <c r="AT79" s="57"/>
      <c r="AU79" s="39"/>
      <c r="AV79" s="39"/>
      <c r="AW79" s="39"/>
      <c r="AX79" s="39"/>
    </row>
    <row r="80" spans="1:50" ht="13.5">
      <c r="A80" s="23" t="s">
        <v>34</v>
      </c>
      <c r="B80" s="21" t="s">
        <v>263</v>
      </c>
      <c r="C80" s="22" t="s">
        <v>414</v>
      </c>
      <c r="D80" s="23" t="s">
        <v>105</v>
      </c>
      <c r="E80" s="23" t="s">
        <v>415</v>
      </c>
      <c r="F80" s="24">
        <f t="shared" si="4"/>
        <v>0.005023148148148138</v>
      </c>
      <c r="G80" s="25">
        <f>(5-COUNT(V80,Y80,AB80,AE80,AH80))*'штрафы-карточка'!$B$4+(4-COUNT(AK80,AL80,AO80,AR80))*'штрафы-карточка'!$B$5+(7-COUNT(X80,AA80,AD80,AG80,AN80,AQ80,AT80))*'штрафы-карточка'!$B$3</f>
        <v>810</v>
      </c>
      <c r="H80" s="26">
        <f>VLOOKUP(D80,'штрафы-карточка'!$E$2:$L$300,2,FALSE)</f>
        <v>60</v>
      </c>
      <c r="I80" s="26">
        <f>VLOOKUP(D80,'штрафы-карточка'!$E$2:$L$300,3,FALSE)</f>
        <v>720</v>
      </c>
      <c r="J80" s="26">
        <f>VLOOKUP(D80,'штрафы-карточка'!$E$2:$L$300,4,FALSE)</f>
        <v>0</v>
      </c>
      <c r="K80" s="26">
        <f>VLOOKUP(D80,'штрафы-карточка'!$E$2:$L$300,5,FALSE)</f>
        <v>0</v>
      </c>
      <c r="L80" s="26">
        <f>VLOOKUP(D80,'штрафы-карточка'!$E$2:$L$300,6,FALSE)</f>
        <v>0</v>
      </c>
      <c r="M80" s="26">
        <f>VLOOKUP(D80,'штрафы-карточка'!$E$2:$L$300,7,FALSE)</f>
        <v>0</v>
      </c>
      <c r="N80" s="26">
        <f>VLOOKUP(D80,'штрафы-карточка'!$E$2:$L$300,8,FALSE)</f>
        <v>120</v>
      </c>
      <c r="O80" s="61">
        <f>E80-F80+TIME(0,G80,0)+TIME(0,H80,0)+TIME(0,I80,0)+TIME(0,J80,0)+TIME(0,K80,0)+TIME(0,L80,0)+TIME(0,M80,0)+TIME(0,N80,0)</f>
        <v>1.6265856481481482</v>
      </c>
      <c r="P80" s="49">
        <v>0.008263888888888888</v>
      </c>
      <c r="Q80" s="57">
        <v>0.3504513888888889</v>
      </c>
      <c r="R80" s="49">
        <v>0.1739814814814815</v>
      </c>
      <c r="S80" s="49">
        <v>0.2728819444444444</v>
      </c>
      <c r="T80" s="57">
        <v>0.1165162037037037</v>
      </c>
      <c r="U80" s="57">
        <v>0.16549768518518518</v>
      </c>
      <c r="V80" s="49">
        <v>0.04325231481481481</v>
      </c>
      <c r="W80" s="49">
        <v>0.045891203703703705</v>
      </c>
      <c r="X80" s="49">
        <v>0.04846064814814815</v>
      </c>
      <c r="Y80" s="57">
        <v>0.3038194444444445</v>
      </c>
      <c r="Z80" s="57">
        <v>0.3062037037037037</v>
      </c>
      <c r="AA80" s="57">
        <v>0.3102199074074074</v>
      </c>
      <c r="AB80" s="49"/>
      <c r="AC80" s="49"/>
      <c r="AD80" s="49"/>
      <c r="AE80" s="57"/>
      <c r="AF80" s="57"/>
      <c r="AG80" s="57"/>
      <c r="AH80" s="49">
        <v>0.0416666666666667</v>
      </c>
      <c r="AI80" s="57">
        <v>0.3907523148148148</v>
      </c>
      <c r="AJ80" s="57">
        <v>0.4014930555555556</v>
      </c>
      <c r="AK80" s="49">
        <v>0.3854282407407407</v>
      </c>
      <c r="AL80" s="57"/>
      <c r="AM80" s="57"/>
      <c r="AN80" s="57"/>
      <c r="AO80" s="49"/>
      <c r="AP80" s="49"/>
      <c r="AQ80" s="49"/>
      <c r="AR80" s="57"/>
      <c r="AS80" s="57"/>
      <c r="AT80" s="57"/>
      <c r="AU80" s="39"/>
      <c r="AV80" s="39"/>
      <c r="AW80" s="39"/>
      <c r="AX80" s="39"/>
    </row>
    <row r="81" spans="2:46" ht="13.5">
      <c r="B81" s="28"/>
      <c r="P81" s="30"/>
      <c r="Q81" s="30"/>
      <c r="R81" s="30"/>
      <c r="S81" s="30"/>
      <c r="T81" s="30"/>
      <c r="U81" s="30"/>
      <c r="Y81" s="30"/>
      <c r="Z81" s="30"/>
      <c r="AA81" s="30"/>
      <c r="AB81" s="30"/>
      <c r="AC81" s="30"/>
      <c r="AD81" s="27"/>
      <c r="AE81" s="27"/>
      <c r="AF81" s="27"/>
      <c r="AG81" s="27"/>
      <c r="AH81" s="31"/>
      <c r="AI81" s="31"/>
      <c r="AJ81" s="31"/>
      <c r="AL81" s="30"/>
      <c r="AM81" s="30"/>
      <c r="AN81" s="30"/>
      <c r="AO81" s="27"/>
      <c r="AP81" s="27"/>
      <c r="AQ81" s="27"/>
      <c r="AR81" s="30"/>
      <c r="AS81" s="30"/>
      <c r="AT81" s="27"/>
    </row>
    <row r="82" spans="2:46" ht="13.5">
      <c r="B82" s="28"/>
      <c r="P82" s="30"/>
      <c r="Q82" s="30"/>
      <c r="R82" s="30"/>
      <c r="S82" s="30"/>
      <c r="T82" s="30"/>
      <c r="U82" s="30"/>
      <c r="Y82" s="30"/>
      <c r="Z82" s="30"/>
      <c r="AA82" s="30"/>
      <c r="AB82" s="30"/>
      <c r="AC82" s="30"/>
      <c r="AD82" s="27"/>
      <c r="AE82" s="27"/>
      <c r="AF82" s="27"/>
      <c r="AG82" s="27"/>
      <c r="AH82" s="31"/>
      <c r="AL82" s="30"/>
      <c r="AM82" s="30"/>
      <c r="AN82" s="30"/>
      <c r="AO82" s="27"/>
      <c r="AP82" s="27"/>
      <c r="AQ82" s="27"/>
      <c r="AR82" s="30"/>
      <c r="AS82" s="30"/>
      <c r="AT82" s="27"/>
    </row>
    <row r="83" spans="2:46" ht="13.5">
      <c r="B83" s="28"/>
      <c r="P83" s="30"/>
      <c r="Q83" s="30"/>
      <c r="R83" s="30"/>
      <c r="S83" s="30"/>
      <c r="T83" s="30"/>
      <c r="U83" s="30"/>
      <c r="Y83" s="30"/>
      <c r="Z83" s="30"/>
      <c r="AA83" s="30"/>
      <c r="AB83" s="30"/>
      <c r="AC83" s="30"/>
      <c r="AD83" s="27"/>
      <c r="AI83" s="31"/>
      <c r="AJ83" s="31"/>
      <c r="AL83" s="30"/>
      <c r="AM83" s="30"/>
      <c r="AN83" s="30"/>
      <c r="AR83" s="30"/>
      <c r="AS83" s="30"/>
      <c r="AT83" s="27"/>
    </row>
    <row r="84" spans="2:46" ht="13.5">
      <c r="B84" s="28"/>
      <c r="P84" s="30"/>
      <c r="Q84" s="30"/>
      <c r="R84" s="30"/>
      <c r="S84" s="30"/>
      <c r="T84" s="30"/>
      <c r="U84" s="30"/>
      <c r="Y84" s="30"/>
      <c r="Z84" s="30"/>
      <c r="AA84" s="30"/>
      <c r="AB84" s="30"/>
      <c r="AC84" s="30"/>
      <c r="AD84" s="27"/>
      <c r="AE84" s="27"/>
      <c r="AF84" s="27"/>
      <c r="AG84" s="27"/>
      <c r="AH84" s="31"/>
      <c r="AI84" s="31"/>
      <c r="AJ84" s="31"/>
      <c r="AL84" s="30"/>
      <c r="AM84" s="30"/>
      <c r="AN84" s="30"/>
      <c r="AO84" s="27"/>
      <c r="AP84" s="27"/>
      <c r="AQ84" s="27"/>
      <c r="AR84" s="30"/>
      <c r="AS84" s="30"/>
      <c r="AT84" s="27"/>
    </row>
    <row r="85" spans="2:46" ht="13.5">
      <c r="B85" s="28"/>
      <c r="R85" s="30"/>
      <c r="S85" s="30"/>
      <c r="T85" s="30"/>
      <c r="U85" s="30"/>
      <c r="Y85" s="30"/>
      <c r="Z85" s="30"/>
      <c r="AA85" s="30"/>
      <c r="AB85" s="30"/>
      <c r="AC85" s="30"/>
      <c r="AD85" s="27"/>
      <c r="AE85" s="27"/>
      <c r="AF85" s="27"/>
      <c r="AG85" s="27"/>
      <c r="AH85" s="31"/>
      <c r="AL85" s="30"/>
      <c r="AM85" s="30"/>
      <c r="AN85" s="30"/>
      <c r="AO85" s="27"/>
      <c r="AP85" s="27"/>
      <c r="AQ85" s="27"/>
      <c r="AR85" s="30"/>
      <c r="AS85" s="30"/>
      <c r="AT85" s="27"/>
    </row>
    <row r="86" spans="2:46" ht="13.5">
      <c r="B86" s="28"/>
      <c r="P86" s="30"/>
      <c r="Q86" s="30"/>
      <c r="R86" s="30"/>
      <c r="S86" s="30"/>
      <c r="T86" s="30"/>
      <c r="U86" s="30"/>
      <c r="Y86" s="30"/>
      <c r="Z86" s="30"/>
      <c r="AA86" s="30"/>
      <c r="AB86" s="30"/>
      <c r="AC86" s="30"/>
      <c r="AD86" s="27"/>
      <c r="AE86" s="27"/>
      <c r="AF86" s="27"/>
      <c r="AG86" s="27"/>
      <c r="AH86" s="31"/>
      <c r="AI86" s="31"/>
      <c r="AJ86" s="31"/>
      <c r="AL86" s="30"/>
      <c r="AM86" s="30"/>
      <c r="AN86" s="30"/>
      <c r="AO86" s="27"/>
      <c r="AP86" s="27"/>
      <c r="AQ86" s="27"/>
      <c r="AR86" s="30"/>
      <c r="AS86" s="30"/>
      <c r="AT86" s="27"/>
    </row>
    <row r="87" spans="2:46" ht="13.5">
      <c r="B87" s="28"/>
      <c r="R87" s="30"/>
      <c r="S87" s="30"/>
      <c r="T87" s="30"/>
      <c r="U87" s="30"/>
      <c r="Y87" s="30"/>
      <c r="Z87" s="30"/>
      <c r="AA87" s="30"/>
      <c r="AB87" s="30"/>
      <c r="AD87" s="27"/>
      <c r="AE87" s="27"/>
      <c r="AF87" s="27"/>
      <c r="AG87" s="27"/>
      <c r="AH87" s="31"/>
      <c r="AI87" s="31"/>
      <c r="AJ87" s="31"/>
      <c r="AL87" s="30"/>
      <c r="AM87" s="30"/>
      <c r="AN87" s="30"/>
      <c r="AO87" s="27"/>
      <c r="AP87" s="27"/>
      <c r="AQ87" s="27"/>
      <c r="AR87" s="30"/>
      <c r="AT87" s="27"/>
    </row>
  </sheetData>
  <mergeCells count="11">
    <mergeCell ref="B1:O2"/>
    <mergeCell ref="AL1:AN1"/>
    <mergeCell ref="AE1:AG1"/>
    <mergeCell ref="V1:X1"/>
    <mergeCell ref="Y1:AA1"/>
    <mergeCell ref="AB1:AD1"/>
    <mergeCell ref="R1:S1"/>
    <mergeCell ref="T1:U1"/>
    <mergeCell ref="AO1:AQ1"/>
    <mergeCell ref="AR1:AT1"/>
    <mergeCell ref="AI1:AJ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48"/>
  <sheetViews>
    <sheetView view="pageBreakPreview" zoomScaleSheetLayoutView="100" workbookViewId="0" topLeftCell="A1">
      <pane ySplit="3" topLeftCell="BM4" activePane="bottomLeft" state="frozen"/>
      <selection pane="topLeft" activeCell="D11" sqref="D11"/>
      <selection pane="bottomLeft" activeCell="C4" sqref="C4"/>
    </sheetView>
  </sheetViews>
  <sheetFormatPr defaultColWidth="9.00390625" defaultRowHeight="12.75"/>
  <cols>
    <col min="1" max="1" width="8.875" style="20" customWidth="1"/>
    <col min="2" max="2" width="7.25390625" style="14" customWidth="1"/>
    <col min="3" max="3" width="22.375" style="14" customWidth="1"/>
    <col min="4" max="4" width="5.00390625" style="20" customWidth="1"/>
    <col min="5" max="5" width="11.00390625" style="20" bestFit="1" customWidth="1"/>
    <col min="6" max="6" width="9.00390625" style="20" bestFit="1" customWidth="1"/>
    <col min="7" max="7" width="7.625" style="20" customWidth="1"/>
    <col min="8" max="14" width="4.375" style="20" customWidth="1"/>
    <col min="15" max="15" width="11.375" style="29" customWidth="1"/>
    <col min="16" max="26" width="10.375" style="20" customWidth="1"/>
    <col min="27" max="29" width="10.375" style="14" customWidth="1"/>
    <col min="30" max="38" width="10.375" style="13" customWidth="1"/>
    <col min="39" max="41" width="10.375" style="20" customWidth="1"/>
    <col min="42" max="44" width="10.375" style="14" customWidth="1"/>
    <col min="45" max="46" width="10.375" style="20" customWidth="1"/>
    <col min="47" max="47" width="10.375" style="14" customWidth="1"/>
    <col min="48" max="48" width="10.375" style="13" customWidth="1"/>
    <col min="49" max="51" width="9.25390625" style="13" customWidth="1"/>
    <col min="52" max="16384" width="12.625" style="14" customWidth="1"/>
  </cols>
  <sheetData>
    <row r="1" spans="2:51" ht="13.5" customHeight="1">
      <c r="B1" s="81" t="s">
        <v>420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10" t="s">
        <v>240</v>
      </c>
      <c r="Q1" s="77" t="s">
        <v>421</v>
      </c>
      <c r="R1" s="87"/>
      <c r="S1" s="88" t="s">
        <v>242</v>
      </c>
      <c r="T1" s="79"/>
      <c r="U1" s="77" t="s">
        <v>243</v>
      </c>
      <c r="V1" s="78"/>
      <c r="W1" s="78"/>
      <c r="X1" s="79" t="s">
        <v>244</v>
      </c>
      <c r="Y1" s="79"/>
      <c r="Z1" s="80"/>
      <c r="AA1" s="78" t="s">
        <v>561</v>
      </c>
      <c r="AB1" s="78"/>
      <c r="AC1" s="87"/>
      <c r="AD1" s="10" t="s">
        <v>246</v>
      </c>
      <c r="AE1" s="77" t="s">
        <v>422</v>
      </c>
      <c r="AF1" s="78"/>
      <c r="AG1" s="78"/>
      <c r="AH1" s="79" t="s">
        <v>423</v>
      </c>
      <c r="AI1" s="79"/>
      <c r="AJ1" s="78" t="s">
        <v>247</v>
      </c>
      <c r="AK1" s="78"/>
      <c r="AL1" s="12" t="s">
        <v>248</v>
      </c>
      <c r="AM1" s="78" t="s">
        <v>249</v>
      </c>
      <c r="AN1" s="78"/>
      <c r="AO1" s="87"/>
      <c r="AP1" s="79" t="s">
        <v>250</v>
      </c>
      <c r="AQ1" s="79"/>
      <c r="AR1" s="80"/>
      <c r="AS1" s="77" t="s">
        <v>13</v>
      </c>
      <c r="AT1" s="78"/>
      <c r="AU1" s="78"/>
      <c r="AV1" s="33" t="s">
        <v>424</v>
      </c>
      <c r="AW1" s="43" t="s">
        <v>552</v>
      </c>
      <c r="AX1" s="43" t="s">
        <v>249</v>
      </c>
      <c r="AY1" s="43" t="s">
        <v>13</v>
      </c>
    </row>
    <row r="2" spans="1:51" s="15" customFormat="1" ht="60" customHeight="1">
      <c r="A2" s="69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47" t="s">
        <v>251</v>
      </c>
      <c r="Q2" s="53" t="s">
        <v>252</v>
      </c>
      <c r="R2" s="53" t="s">
        <v>253</v>
      </c>
      <c r="S2" s="47" t="s">
        <v>252</v>
      </c>
      <c r="T2" s="47" t="s">
        <v>253</v>
      </c>
      <c r="U2" s="53" t="s">
        <v>254</v>
      </c>
      <c r="V2" s="53" t="s">
        <v>255</v>
      </c>
      <c r="W2" s="53" t="s">
        <v>256</v>
      </c>
      <c r="X2" s="47" t="s">
        <v>254</v>
      </c>
      <c r="Y2" s="47" t="s">
        <v>255</v>
      </c>
      <c r="Z2" s="47" t="s">
        <v>256</v>
      </c>
      <c r="AA2" s="53" t="s">
        <v>254</v>
      </c>
      <c r="AB2" s="53" t="s">
        <v>255</v>
      </c>
      <c r="AC2" s="53" t="s">
        <v>256</v>
      </c>
      <c r="AD2" s="47" t="s">
        <v>251</v>
      </c>
      <c r="AE2" s="53" t="s">
        <v>254</v>
      </c>
      <c r="AF2" s="53" t="s">
        <v>255</v>
      </c>
      <c r="AG2" s="53" t="s">
        <v>256</v>
      </c>
      <c r="AH2" s="47" t="s">
        <v>252</v>
      </c>
      <c r="AI2" s="47" t="s">
        <v>253</v>
      </c>
      <c r="AJ2" s="53" t="s">
        <v>252</v>
      </c>
      <c r="AK2" s="53" t="s">
        <v>253</v>
      </c>
      <c r="AL2" s="47" t="s">
        <v>251</v>
      </c>
      <c r="AM2" s="53" t="s">
        <v>254</v>
      </c>
      <c r="AN2" s="53" t="s">
        <v>255</v>
      </c>
      <c r="AO2" s="53" t="s">
        <v>256</v>
      </c>
      <c r="AP2" s="47" t="s">
        <v>254</v>
      </c>
      <c r="AQ2" s="47" t="s">
        <v>255</v>
      </c>
      <c r="AR2" s="47" t="s">
        <v>256</v>
      </c>
      <c r="AS2" s="53" t="s">
        <v>254</v>
      </c>
      <c r="AT2" s="53" t="s">
        <v>255</v>
      </c>
      <c r="AU2" s="54" t="s">
        <v>256</v>
      </c>
      <c r="AV2" s="47" t="s">
        <v>251</v>
      </c>
      <c r="AW2" s="44" t="s">
        <v>255</v>
      </c>
      <c r="AX2" s="44" t="s">
        <v>255</v>
      </c>
      <c r="AY2" s="44" t="s">
        <v>255</v>
      </c>
    </row>
    <row r="3" spans="1:51" s="20" customFormat="1" ht="41.25" customHeight="1">
      <c r="A3" s="16" t="s">
        <v>257</v>
      </c>
      <c r="B3" s="16" t="s">
        <v>562</v>
      </c>
      <c r="C3" s="16" t="s">
        <v>258</v>
      </c>
      <c r="D3" s="16" t="s">
        <v>0</v>
      </c>
      <c r="E3" s="17" t="s">
        <v>259</v>
      </c>
      <c r="F3" s="18" t="s">
        <v>260</v>
      </c>
      <c r="G3" s="19" t="s">
        <v>261</v>
      </c>
      <c r="H3" s="2" t="s">
        <v>553</v>
      </c>
      <c r="I3" s="2" t="s">
        <v>554</v>
      </c>
      <c r="J3" s="2" t="s">
        <v>555</v>
      </c>
      <c r="K3" s="2" t="s">
        <v>556</v>
      </c>
      <c r="L3" s="2" t="s">
        <v>557</v>
      </c>
      <c r="M3" s="2" t="s">
        <v>558</v>
      </c>
      <c r="N3" s="2" t="s">
        <v>559</v>
      </c>
      <c r="O3" s="62" t="s">
        <v>262</v>
      </c>
      <c r="P3" s="48">
        <v>200</v>
      </c>
      <c r="Q3" s="55">
        <v>101</v>
      </c>
      <c r="R3" s="55">
        <v>101</v>
      </c>
      <c r="S3" s="50">
        <v>103</v>
      </c>
      <c r="T3" s="50">
        <v>103</v>
      </c>
      <c r="U3" s="55">
        <v>104</v>
      </c>
      <c r="V3" s="55">
        <v>104</v>
      </c>
      <c r="W3" s="55">
        <v>204</v>
      </c>
      <c r="X3" s="48">
        <v>105</v>
      </c>
      <c r="Y3" s="48">
        <v>105</v>
      </c>
      <c r="Z3" s="48">
        <v>205</v>
      </c>
      <c r="AA3" s="55">
        <v>107</v>
      </c>
      <c r="AB3" s="56">
        <v>107</v>
      </c>
      <c r="AC3" s="60">
        <v>207</v>
      </c>
      <c r="AD3" s="50">
        <v>108</v>
      </c>
      <c r="AE3" s="55">
        <v>109</v>
      </c>
      <c r="AF3" s="55">
        <v>109</v>
      </c>
      <c r="AG3" s="55">
        <v>209</v>
      </c>
      <c r="AH3" s="50">
        <v>110</v>
      </c>
      <c r="AI3" s="50">
        <v>110</v>
      </c>
      <c r="AJ3" s="55">
        <v>111</v>
      </c>
      <c r="AK3" s="55">
        <v>111</v>
      </c>
      <c r="AL3" s="50">
        <v>112</v>
      </c>
      <c r="AM3" s="59">
        <v>113</v>
      </c>
      <c r="AN3" s="59">
        <v>113</v>
      </c>
      <c r="AO3" s="59">
        <v>213</v>
      </c>
      <c r="AP3" s="50">
        <v>115</v>
      </c>
      <c r="AQ3" s="51">
        <v>115</v>
      </c>
      <c r="AR3" s="52">
        <v>215</v>
      </c>
      <c r="AS3" s="55">
        <v>116</v>
      </c>
      <c r="AT3" s="55">
        <v>116</v>
      </c>
      <c r="AU3" s="56">
        <v>216</v>
      </c>
      <c r="AV3" s="33">
        <v>117</v>
      </c>
      <c r="AW3" s="41">
        <v>105</v>
      </c>
      <c r="AX3" s="41">
        <v>113</v>
      </c>
      <c r="AY3" s="41">
        <v>116</v>
      </c>
    </row>
    <row r="4" spans="1:51" ht="13.5">
      <c r="A4" s="70" t="s">
        <v>1</v>
      </c>
      <c r="B4" s="21" t="s">
        <v>425</v>
      </c>
      <c r="C4" s="22" t="s">
        <v>432</v>
      </c>
      <c r="D4" s="23" t="s">
        <v>9</v>
      </c>
      <c r="E4" s="23" t="s">
        <v>433</v>
      </c>
      <c r="F4" s="24">
        <f aca="true" t="shared" si="0" ref="F4:F48">V4-U4+Y4-X4+AB4-AA4+AF4-AE4+AN4-AM4+AQ4-AP4+AT4-AS4</f>
        <v>0.008993055555555629</v>
      </c>
      <c r="G4" s="25">
        <f>(4-COUNT(U4,X4,AA4,AD4))*'штрафы-карточка'!$B$4+(6-COUNT(AE4,AL4,AM4,AP4,AS4,AV4))*'штрафы-карточка'!$B$5+(7-COUNT(W4,Z4,AC4,AG4,AO4,AR4,AU4))*'штрафы-карточка'!$B$3</f>
        <v>0</v>
      </c>
      <c r="H4" s="26">
        <f>VLOOKUP(D4,'штрафы-карточка'!$E$2:$L$300,2,FALSE)</f>
        <v>0</v>
      </c>
      <c r="I4" s="26">
        <f>VLOOKUP(D4,'штрафы-карточка'!$E$2:$L$300,3,FALSE)</f>
        <v>0</v>
      </c>
      <c r="J4" s="26">
        <f>VLOOKUP(D4,'штрафы-карточка'!$E$2:$L$300,4,FALSE)</f>
        <v>0</v>
      </c>
      <c r="K4" s="26">
        <f>VLOOKUP(D4,'штрафы-карточка'!$E$2:$L$300,5,FALSE)</f>
        <v>0</v>
      </c>
      <c r="L4" s="26">
        <f>VLOOKUP(D4,'штрафы-карточка'!$E$2:$L$300,6,FALSE)</f>
        <v>0</v>
      </c>
      <c r="M4" s="26">
        <f>VLOOKUP(D4,'штрафы-карточка'!$E$2:$L$300,7,FALSE)</f>
        <v>0</v>
      </c>
      <c r="N4" s="26">
        <f>VLOOKUP(D4,'штрафы-карточка'!$E$2:$L$300,8,FALSE)</f>
        <v>0</v>
      </c>
      <c r="O4" s="61">
        <f aca="true" t="shared" si="1" ref="O4:O48">E4-F4+TIME(0,G4,0)+TIME(0,H4,0)+TIME(0,I4,0)+TIME(0,J4,0)+TIME(0,K4,0)+TIME(0,L4,0)+TIME(0,M4,0)+TIME(0,N4,0)</f>
        <v>0.33146990740740734</v>
      </c>
      <c r="P4" s="49">
        <v>0.2340972222222222</v>
      </c>
      <c r="Q4" s="57">
        <v>0.041851851851851855</v>
      </c>
      <c r="R4" s="57"/>
      <c r="S4" s="49">
        <v>0.09159722222222222</v>
      </c>
      <c r="T4" s="49">
        <v>0.11122685185185184</v>
      </c>
      <c r="U4" s="57">
        <v>0.3125925925925926</v>
      </c>
      <c r="V4" s="57">
        <v>0.3133564814814815</v>
      </c>
      <c r="W4" s="57">
        <v>0.31449074074074074</v>
      </c>
      <c r="X4" s="49">
        <v>0.29938657407407404</v>
      </c>
      <c r="Y4" s="49">
        <v>0.29976851851851855</v>
      </c>
      <c r="Z4" s="49">
        <v>0.3035185185185185</v>
      </c>
      <c r="AA4" s="57">
        <v>0.2738773148148148</v>
      </c>
      <c r="AB4" s="57">
        <v>0.27631944444444445</v>
      </c>
      <c r="AC4" s="57">
        <v>0.2771064814814815</v>
      </c>
      <c r="AD4" s="49">
        <v>0.0416666666666667</v>
      </c>
      <c r="AE4" s="57">
        <v>0.14579861111111111</v>
      </c>
      <c r="AF4" s="57">
        <v>0.14730324074074075</v>
      </c>
      <c r="AG4" s="57">
        <v>0.14847222222222223</v>
      </c>
      <c r="AH4" s="49">
        <v>0.01685185185185185</v>
      </c>
      <c r="AI4" s="49">
        <v>0.18054398148148146</v>
      </c>
      <c r="AJ4" s="57">
        <v>0.19652777777777777</v>
      </c>
      <c r="AK4" s="57">
        <v>0.20233796296296294</v>
      </c>
      <c r="AL4" s="49">
        <v>0.19318287037037038</v>
      </c>
      <c r="AM4" s="57">
        <v>0.21689814814814815</v>
      </c>
      <c r="AN4" s="57">
        <v>0.21689814814814815</v>
      </c>
      <c r="AO4" s="57">
        <v>0.21815972222222224</v>
      </c>
      <c r="AP4" s="49">
        <v>0.22613425925925926</v>
      </c>
      <c r="AQ4" s="49">
        <v>0.22787037037037036</v>
      </c>
      <c r="AR4" s="49">
        <v>0.23048611111111109</v>
      </c>
      <c r="AS4" s="57">
        <v>0.33283564814814814</v>
      </c>
      <c r="AT4" s="57">
        <v>0.335</v>
      </c>
      <c r="AU4" s="58">
        <v>0.33850694444444446</v>
      </c>
      <c r="AV4" s="49">
        <v>0.17891203703703704</v>
      </c>
      <c r="AW4" s="43"/>
      <c r="AX4" s="43"/>
      <c r="AY4" s="46">
        <v>0.3369907407407407</v>
      </c>
    </row>
    <row r="5" spans="1:51" ht="13.5">
      <c r="A5" s="70" t="s">
        <v>2</v>
      </c>
      <c r="B5" s="21" t="s">
        <v>425</v>
      </c>
      <c r="C5" s="22" t="s">
        <v>440</v>
      </c>
      <c r="D5" s="23" t="s">
        <v>6</v>
      </c>
      <c r="E5" s="23" t="s">
        <v>441</v>
      </c>
      <c r="F5" s="24">
        <f t="shared" si="0"/>
        <v>0.006747685185185148</v>
      </c>
      <c r="G5" s="25">
        <f>(4-COUNT(U5,X5,AA5,AD5))*'штрафы-карточка'!$B$4+(6-COUNT(AE5,AL5,AM5,AP5,AS5,AV5))*'штрафы-карточка'!$B$5+(7-COUNT(W5,Z5,AC5,AG5,AO5,AR5,AU5))*'штрафы-карточка'!$B$3</f>
        <v>0</v>
      </c>
      <c r="H5" s="26">
        <f>VLOOKUP(D5,'штрафы-карточка'!$E$2:$L$300,2,FALSE)</f>
        <v>0</v>
      </c>
      <c r="I5" s="26">
        <f>VLOOKUP(D5,'штрафы-карточка'!$E$2:$L$300,3,FALSE)</f>
        <v>0</v>
      </c>
      <c r="J5" s="26">
        <f>VLOOKUP(D5,'штрафы-карточка'!$E$2:$L$300,4,FALSE)</f>
        <v>0</v>
      </c>
      <c r="K5" s="26">
        <f>VLOOKUP(D5,'штрафы-карточка'!$E$2:$L$300,5,FALSE)</f>
        <v>0</v>
      </c>
      <c r="L5" s="26">
        <f>VLOOKUP(D5,'штрафы-карточка'!$E$2:$L$300,6,FALSE)</f>
        <v>0</v>
      </c>
      <c r="M5" s="26">
        <f>VLOOKUP(D5,'штрафы-карточка'!$E$2:$L$300,7,FALSE)</f>
        <v>0</v>
      </c>
      <c r="N5" s="26">
        <f>VLOOKUP(D5,'штрафы-карточка'!$E$2:$L$300,8,FALSE)</f>
        <v>0</v>
      </c>
      <c r="O5" s="61">
        <f t="shared" si="1"/>
        <v>0.3642245370370371</v>
      </c>
      <c r="P5" s="49">
        <v>0.25202546296296297</v>
      </c>
      <c r="Q5" s="57">
        <v>0.07657407407407407</v>
      </c>
      <c r="R5" s="57"/>
      <c r="S5" s="49">
        <v>0.10513888888888889</v>
      </c>
      <c r="T5" s="49">
        <v>0.13650462962962964</v>
      </c>
      <c r="U5" s="57">
        <v>0.33927083333333335</v>
      </c>
      <c r="V5" s="57">
        <v>0.3396412037037037</v>
      </c>
      <c r="W5" s="57">
        <v>0.34111111111111114</v>
      </c>
      <c r="X5" s="49">
        <v>0.3567708333333333</v>
      </c>
      <c r="Y5" s="49">
        <v>0.35765046296296293</v>
      </c>
      <c r="Z5" s="49">
        <v>0.360787037037037</v>
      </c>
      <c r="AA5" s="57">
        <v>0.30811342592592594</v>
      </c>
      <c r="AB5" s="57">
        <v>0.30811342592592594</v>
      </c>
      <c r="AC5" s="57">
        <v>0.3091087962962963</v>
      </c>
      <c r="AD5" s="49">
        <v>0.0416666666666667</v>
      </c>
      <c r="AE5" s="57">
        <v>0.16269675925925928</v>
      </c>
      <c r="AF5" s="57">
        <v>0.16269675925925928</v>
      </c>
      <c r="AG5" s="57">
        <v>0.1650462962962963</v>
      </c>
      <c r="AH5" s="49">
        <v>0.032326388888888884</v>
      </c>
      <c r="AI5" s="49">
        <v>0.19636574074074073</v>
      </c>
      <c r="AJ5" s="57">
        <v>0.022824074074074076</v>
      </c>
      <c r="AK5" s="57">
        <v>0.02601851851851852</v>
      </c>
      <c r="AL5" s="49">
        <v>0.019733796296296298</v>
      </c>
      <c r="AM5" s="57">
        <v>0.24744212962962964</v>
      </c>
      <c r="AN5" s="57">
        <v>0.24744212962962964</v>
      </c>
      <c r="AO5" s="57">
        <v>0.24898148148148147</v>
      </c>
      <c r="AP5" s="49">
        <v>0.2391087962962963</v>
      </c>
      <c r="AQ5" s="49">
        <v>0.24094907407407407</v>
      </c>
      <c r="AR5" s="49">
        <v>0.2452662037037037</v>
      </c>
      <c r="AS5" s="57">
        <v>0.26032407407407404</v>
      </c>
      <c r="AT5" s="57">
        <v>0.2639814814814815</v>
      </c>
      <c r="AU5" s="58">
        <v>0.2672800925925926</v>
      </c>
      <c r="AV5" s="49">
        <v>0.1940625</v>
      </c>
      <c r="AW5" s="43"/>
      <c r="AX5" s="43"/>
      <c r="AY5" s="43"/>
    </row>
    <row r="6" spans="1:51" ht="13.5">
      <c r="A6" s="70" t="s">
        <v>3</v>
      </c>
      <c r="B6" s="21" t="s">
        <v>425</v>
      </c>
      <c r="C6" s="22" t="s">
        <v>448</v>
      </c>
      <c r="D6" s="23" t="s">
        <v>23</v>
      </c>
      <c r="E6" s="23" t="s">
        <v>449</v>
      </c>
      <c r="F6" s="24">
        <f t="shared" si="0"/>
        <v>0.009942129629629648</v>
      </c>
      <c r="G6" s="25">
        <f>(4-COUNT(U6,X6,AA6,AD6))*'штрафы-карточка'!$B$4+(6-COUNT(AE6,AL6,AM6,AP6,AS6,AV6))*'штрафы-карточка'!$B$5+(7-COUNT(W6,Z6,AC6,AG6,AO6,AR6,AU6))*'штрафы-карточка'!$B$3</f>
        <v>0</v>
      </c>
      <c r="H6" s="26">
        <f>VLOOKUP(D6,'штрафы-карточка'!$E$2:$L$300,2,FALSE)</f>
        <v>0</v>
      </c>
      <c r="I6" s="26">
        <f>VLOOKUP(D6,'штрафы-карточка'!$E$2:$L$300,3,FALSE)</f>
        <v>0</v>
      </c>
      <c r="J6" s="26">
        <f>VLOOKUP(D6,'штрафы-карточка'!$E$2:$L$300,4,FALSE)</f>
        <v>0</v>
      </c>
      <c r="K6" s="26">
        <f>VLOOKUP(D6,'штрафы-карточка'!$E$2:$L$300,5,FALSE)</f>
        <v>0</v>
      </c>
      <c r="L6" s="26">
        <f>VLOOKUP(D6,'штрафы-карточка'!$E$2:$L$300,6,FALSE)</f>
        <v>0</v>
      </c>
      <c r="M6" s="26">
        <f>VLOOKUP(D6,'штрафы-карточка'!$E$2:$L$300,7,FALSE)</f>
        <v>0</v>
      </c>
      <c r="N6" s="26">
        <f>VLOOKUP(D6,'штрафы-карточка'!$E$2:$L$300,8,FALSE)</f>
        <v>0</v>
      </c>
      <c r="O6" s="61">
        <f t="shared" si="1"/>
        <v>0.375949074074074</v>
      </c>
      <c r="P6" s="49">
        <v>0.2523842592592593</v>
      </c>
      <c r="Q6" s="57">
        <v>0.05369212962962963</v>
      </c>
      <c r="R6" s="57"/>
      <c r="S6" s="49">
        <v>0.0802662037037037</v>
      </c>
      <c r="T6" s="49">
        <v>0.11030092592592593</v>
      </c>
      <c r="U6" s="57">
        <v>0.34550925925925924</v>
      </c>
      <c r="V6" s="57">
        <v>0.34660879629629626</v>
      </c>
      <c r="W6" s="57">
        <v>0.34747685185185184</v>
      </c>
      <c r="X6" s="49">
        <v>0.31697916666666665</v>
      </c>
      <c r="Y6" s="49">
        <v>0.3175115740740741</v>
      </c>
      <c r="Z6" s="49">
        <v>0.32033564814814813</v>
      </c>
      <c r="AA6" s="57">
        <v>0.3020717592592593</v>
      </c>
      <c r="AB6" s="57">
        <v>0.3048611111111111</v>
      </c>
      <c r="AC6" s="57">
        <v>0.30539351851851854</v>
      </c>
      <c r="AD6" s="49">
        <v>0.0416666666666667</v>
      </c>
      <c r="AE6" s="57">
        <v>0.14226851851851852</v>
      </c>
      <c r="AF6" s="57">
        <v>0.14226851851851852</v>
      </c>
      <c r="AG6" s="57">
        <v>0.14444444444444446</v>
      </c>
      <c r="AH6" s="49">
        <v>0.016979166666666667</v>
      </c>
      <c r="AI6" s="49">
        <v>0.17390046296296294</v>
      </c>
      <c r="AJ6" s="57">
        <v>0.18965277777777778</v>
      </c>
      <c r="AK6" s="57">
        <v>0.19724537037037038</v>
      </c>
      <c r="AL6" s="49">
        <v>0.2021990740740741</v>
      </c>
      <c r="AM6" s="57">
        <v>0.22465277777777778</v>
      </c>
      <c r="AN6" s="57">
        <v>0.22465277777777778</v>
      </c>
      <c r="AO6" s="57">
        <v>0.22655092592592593</v>
      </c>
      <c r="AP6" s="49">
        <v>0.23886574074074074</v>
      </c>
      <c r="AQ6" s="49">
        <v>0.24438657407407408</v>
      </c>
      <c r="AR6" s="49">
        <v>0.2476851851851852</v>
      </c>
      <c r="AS6" s="57">
        <v>0.378599537037037</v>
      </c>
      <c r="AT6" s="57">
        <v>0.378599537037037</v>
      </c>
      <c r="AU6" s="58">
        <v>0.3825462962962963</v>
      </c>
      <c r="AV6" s="49">
        <v>0.17144675925925926</v>
      </c>
      <c r="AW6" s="43"/>
      <c r="AX6" s="43"/>
      <c r="AY6" s="43"/>
    </row>
    <row r="7" spans="1:51" ht="13.5">
      <c r="A7" s="74" t="s">
        <v>4</v>
      </c>
      <c r="B7" s="21" t="s">
        <v>425</v>
      </c>
      <c r="C7" s="22" t="s">
        <v>426</v>
      </c>
      <c r="D7" s="23" t="s">
        <v>12</v>
      </c>
      <c r="E7" s="23" t="s">
        <v>427</v>
      </c>
      <c r="F7" s="24">
        <f t="shared" si="0"/>
        <v>0.0024537037037037357</v>
      </c>
      <c r="G7" s="25">
        <f>(4-COUNT(U7,X7,AA7,AD7))*'штрафы-карточка'!$B$4+(6-COUNT(AE7,AL7,AM7,AP7,AS7,AV7))*'штрафы-карточка'!$B$5+(7-COUNT(W7,Z7,AC7,AG7,AO7,AR7,AU7))*'штрафы-карточка'!$B$3</f>
        <v>0</v>
      </c>
      <c r="H7" s="26">
        <f>VLOOKUP(D7,'штрафы-карточка'!$E$2:$L$300,2,FALSE)</f>
        <v>0</v>
      </c>
      <c r="I7" s="26">
        <f>VLOOKUP(D7,'штрафы-карточка'!$E$2:$L$300,3,FALSE)</f>
        <v>0</v>
      </c>
      <c r="J7" s="26">
        <f>VLOOKUP(D7,'штрафы-карточка'!$E$2:$L$300,4,FALSE)</f>
        <v>0</v>
      </c>
      <c r="K7" s="26">
        <f>VLOOKUP(D7,'штрафы-карточка'!$E$2:$L$300,5,FALSE)</f>
        <v>0</v>
      </c>
      <c r="L7" s="26">
        <f>VLOOKUP(D7,'штрафы-карточка'!$E$2:$L$300,6,FALSE)</f>
        <v>0</v>
      </c>
      <c r="M7" s="26">
        <f>VLOOKUP(D7,'штрафы-карточка'!$E$2:$L$300,7,FALSE)</f>
        <v>150</v>
      </c>
      <c r="N7" s="26">
        <f>VLOOKUP(D7,'штрафы-карточка'!$E$2:$L$300,8,FALSE)</f>
        <v>0</v>
      </c>
      <c r="O7" s="61">
        <f t="shared" si="1"/>
        <v>0.3771527777777777</v>
      </c>
      <c r="P7" s="49">
        <v>0.17784722222222224</v>
      </c>
      <c r="Q7" s="57">
        <v>0.05287037037037037</v>
      </c>
      <c r="R7" s="57"/>
      <c r="S7" s="49">
        <v>0.06923611111111111</v>
      </c>
      <c r="T7" s="49">
        <v>0.08630787037037037</v>
      </c>
      <c r="U7" s="57">
        <v>0.25068287037037035</v>
      </c>
      <c r="V7" s="57">
        <v>0.25105324074074076</v>
      </c>
      <c r="W7" s="57">
        <v>0.2518518518518518</v>
      </c>
      <c r="X7" s="49">
        <v>0.23174768518518518</v>
      </c>
      <c r="Y7" s="49">
        <v>0.23174768518518518</v>
      </c>
      <c r="Z7" s="49">
        <v>0.23380787037037035</v>
      </c>
      <c r="AA7" s="57">
        <v>0.22146990740740743</v>
      </c>
      <c r="AB7" s="57">
        <v>0.2225462962962963</v>
      </c>
      <c r="AC7" s="57">
        <v>0.22310185185185186</v>
      </c>
      <c r="AD7" s="49">
        <v>0.0416666666666667</v>
      </c>
      <c r="AE7" s="57">
        <v>0.10452546296296296</v>
      </c>
      <c r="AF7" s="57">
        <v>0.10452546296296296</v>
      </c>
      <c r="AG7" s="57">
        <v>0.10686342592592592</v>
      </c>
      <c r="AH7" s="49">
        <v>0.015625</v>
      </c>
      <c r="AI7" s="49">
        <v>0.13627314814814814</v>
      </c>
      <c r="AJ7" s="57"/>
      <c r="AK7" s="57"/>
      <c r="AL7" s="49">
        <v>0.14766203703703704</v>
      </c>
      <c r="AM7" s="57">
        <v>0.16349537037037037</v>
      </c>
      <c r="AN7" s="57">
        <v>0.16349537037037037</v>
      </c>
      <c r="AO7" s="57">
        <v>0.1648611111111111</v>
      </c>
      <c r="AP7" s="49">
        <v>0.16849537037037035</v>
      </c>
      <c r="AQ7" s="49">
        <v>0.16950231481481481</v>
      </c>
      <c r="AR7" s="49">
        <v>0.17525462962962965</v>
      </c>
      <c r="AS7" s="57">
        <v>0.18269675925925924</v>
      </c>
      <c r="AT7" s="57">
        <v>0.18269675925925924</v>
      </c>
      <c r="AU7" s="58">
        <v>0.18458333333333332</v>
      </c>
      <c r="AV7" s="49">
        <v>0.13424768518518518</v>
      </c>
      <c r="AW7" s="43"/>
      <c r="AX7" s="43"/>
      <c r="AY7" s="43"/>
    </row>
    <row r="8" spans="1:51" ht="13.5">
      <c r="A8" s="74" t="s">
        <v>5</v>
      </c>
      <c r="B8" s="21" t="s">
        <v>425</v>
      </c>
      <c r="C8" s="22" t="s">
        <v>430</v>
      </c>
      <c r="D8" s="23" t="s">
        <v>2</v>
      </c>
      <c r="E8" s="23" t="s">
        <v>431</v>
      </c>
      <c r="F8" s="24">
        <f t="shared" si="0"/>
        <v>0.016064814814814754</v>
      </c>
      <c r="G8" s="25">
        <f>(4-COUNT(U8,X8,AA8,AD8))*'штрафы-карточка'!$B$4+(6-COUNT(AE8,AL8,AM8,AP8,AS8,AV8))*'штрафы-карточка'!$B$5+(7-COUNT(W8,Z8,AC8,AG8,AO8,AR8,AU8))*'штрафы-карточка'!$B$3</f>
        <v>0</v>
      </c>
      <c r="H8" s="26">
        <f>VLOOKUP(D8,'штрафы-карточка'!$E$2:$L$300,2,FALSE)</f>
        <v>0</v>
      </c>
      <c r="I8" s="26">
        <f>VLOOKUP(D8,'штрафы-карточка'!$E$2:$L$300,3,FALSE)</f>
        <v>0</v>
      </c>
      <c r="J8" s="26">
        <f>VLOOKUP(D8,'штрафы-карточка'!$E$2:$L$300,4,FALSE)</f>
        <v>0</v>
      </c>
      <c r="K8" s="26">
        <f>VLOOKUP(D8,'штрафы-карточка'!$E$2:$L$300,5,FALSE)</f>
        <v>0</v>
      </c>
      <c r="L8" s="26">
        <f>VLOOKUP(D8,'штрафы-карточка'!$E$2:$L$300,6,FALSE)</f>
        <v>90</v>
      </c>
      <c r="M8" s="26">
        <f>VLOOKUP(D8,'штрафы-карточка'!$E$2:$L$300,7,FALSE)</f>
        <v>0</v>
      </c>
      <c r="N8" s="26">
        <f>VLOOKUP(D8,'штрафы-карточка'!$E$2:$L$300,8,FALSE)</f>
        <v>0</v>
      </c>
      <c r="O8" s="61">
        <f t="shared" si="1"/>
        <v>0.3888657407407408</v>
      </c>
      <c r="P8" s="49">
        <v>0.23480324074074074</v>
      </c>
      <c r="Q8" s="57">
        <v>0.08256944444444445</v>
      </c>
      <c r="R8" s="57"/>
      <c r="S8" s="49">
        <v>0.09583333333333333</v>
      </c>
      <c r="T8" s="49">
        <v>0.12016203703703704</v>
      </c>
      <c r="U8" s="57">
        <v>0.30675925925925923</v>
      </c>
      <c r="V8" s="57">
        <v>0.31203703703703706</v>
      </c>
      <c r="W8" s="57">
        <v>0.3132638888888889</v>
      </c>
      <c r="X8" s="49">
        <v>0.2938541666666667</v>
      </c>
      <c r="Y8" s="49">
        <v>0.2944791666666667</v>
      </c>
      <c r="Z8" s="49">
        <v>0.2978240740740741</v>
      </c>
      <c r="AA8" s="57">
        <v>0.2755324074074074</v>
      </c>
      <c r="AB8" s="57">
        <v>0.2775462962962963</v>
      </c>
      <c r="AC8" s="57">
        <v>0.2783449074074074</v>
      </c>
      <c r="AD8" s="49">
        <v>0.041666666666666664</v>
      </c>
      <c r="AE8" s="57">
        <v>0.1508449074074074</v>
      </c>
      <c r="AF8" s="57">
        <v>0.1508449074074074</v>
      </c>
      <c r="AG8" s="57">
        <v>0.1553125</v>
      </c>
      <c r="AH8" s="49">
        <v>0.03425925925925926</v>
      </c>
      <c r="AI8" s="49">
        <v>0.18984953703703702</v>
      </c>
      <c r="AJ8" s="57">
        <v>0.026608796296296297</v>
      </c>
      <c r="AK8" s="57">
        <v>0.029479166666666667</v>
      </c>
      <c r="AL8" s="49">
        <v>0.023541666666666666</v>
      </c>
      <c r="AM8" s="57">
        <v>0.23037037037037036</v>
      </c>
      <c r="AN8" s="57">
        <v>0.23037037037037036</v>
      </c>
      <c r="AO8" s="57">
        <v>0.23163194444444443</v>
      </c>
      <c r="AP8" s="49">
        <v>0.22052083333333336</v>
      </c>
      <c r="AQ8" s="49">
        <v>0.2252199074074074</v>
      </c>
      <c r="AR8" s="49">
        <v>0.2288310185185185</v>
      </c>
      <c r="AS8" s="57">
        <v>0.33534722222222224</v>
      </c>
      <c r="AT8" s="57">
        <v>0.33879629629629626</v>
      </c>
      <c r="AU8" s="58">
        <v>0.3409027777777778</v>
      </c>
      <c r="AV8" s="49">
        <v>0.037523148148148146</v>
      </c>
      <c r="AW8" s="43"/>
      <c r="AX8" s="43"/>
      <c r="AY8" s="43"/>
    </row>
    <row r="9" spans="1:51" ht="13.5">
      <c r="A9" s="74" t="s">
        <v>6</v>
      </c>
      <c r="B9" s="21" t="s">
        <v>425</v>
      </c>
      <c r="C9" s="22" t="s">
        <v>450</v>
      </c>
      <c r="D9" s="23" t="s">
        <v>14</v>
      </c>
      <c r="E9" s="23" t="s">
        <v>451</v>
      </c>
      <c r="F9" s="24">
        <f t="shared" si="0"/>
        <v>0.0041087962962963465</v>
      </c>
      <c r="G9" s="25">
        <f>(4-COUNT(U9,X9,AA9,AD9))*'штрафы-карточка'!$B$4+(6-COUNT(AE9,AL9,AM9,AP9,AS9,AV9))*'штрафы-карточка'!$B$5+(7-COUNT(W9,Z9,AC9,AG9,AO9,AR9,AU9))*'штрафы-карточка'!$B$3</f>
        <v>0</v>
      </c>
      <c r="H9" s="26">
        <f>VLOOKUP(D9,'штрафы-карточка'!$E$2:$L$300,2,FALSE)</f>
        <v>0</v>
      </c>
      <c r="I9" s="26">
        <f>VLOOKUP(D9,'штрафы-карточка'!$E$2:$L$300,3,FALSE)</f>
        <v>0</v>
      </c>
      <c r="J9" s="26">
        <f>VLOOKUP(D9,'штрафы-карточка'!$E$2:$L$300,4,FALSE)</f>
        <v>0</v>
      </c>
      <c r="K9" s="26">
        <f>VLOOKUP(D9,'штрафы-карточка'!$E$2:$L$300,5,FALSE)</f>
        <v>0</v>
      </c>
      <c r="L9" s="26">
        <f>VLOOKUP(D9,'штрафы-карточка'!$E$2:$L$300,6,FALSE)</f>
        <v>0</v>
      </c>
      <c r="M9" s="26">
        <f>VLOOKUP(D9,'штрафы-карточка'!$E$2:$L$300,7,FALSE)</f>
        <v>0</v>
      </c>
      <c r="N9" s="26">
        <f>VLOOKUP(D9,'штрафы-карточка'!$E$2:$L$300,8,FALSE)</f>
        <v>0</v>
      </c>
      <c r="O9" s="61">
        <f t="shared" si="1"/>
        <v>0.3947106481481481</v>
      </c>
      <c r="P9" s="49">
        <v>0.2640625</v>
      </c>
      <c r="Q9" s="57">
        <v>0.06288194444444445</v>
      </c>
      <c r="R9" s="57"/>
      <c r="S9" s="49">
        <v>0.115625</v>
      </c>
      <c r="T9" s="49">
        <v>0.14065972222222223</v>
      </c>
      <c r="U9" s="57">
        <v>0.36972222222222223</v>
      </c>
      <c r="V9" s="57">
        <v>0.37226851851851855</v>
      </c>
      <c r="W9" s="57">
        <v>0.3731597222222222</v>
      </c>
      <c r="X9" s="49">
        <v>0.3393171296296296</v>
      </c>
      <c r="Y9" s="49">
        <v>0.3401851851851852</v>
      </c>
      <c r="Z9" s="49">
        <v>0.34121527777777777</v>
      </c>
      <c r="AA9" s="57">
        <v>0.32159722222222226</v>
      </c>
      <c r="AB9" s="57">
        <v>0.32159722222222226</v>
      </c>
      <c r="AC9" s="57">
        <v>0.32285879629629627</v>
      </c>
      <c r="AD9" s="49">
        <v>0.0416666666666667</v>
      </c>
      <c r="AE9" s="57">
        <v>0.15302083333333333</v>
      </c>
      <c r="AF9" s="57">
        <v>0.15302083333333333</v>
      </c>
      <c r="AG9" s="57">
        <v>0.15640046296296298</v>
      </c>
      <c r="AH9" s="49">
        <v>0.023587962962962963</v>
      </c>
      <c r="AI9" s="49">
        <v>0.19488425925925926</v>
      </c>
      <c r="AJ9" s="57">
        <v>0.21828703703703703</v>
      </c>
      <c r="AK9" s="57">
        <v>0.22321759259259258</v>
      </c>
      <c r="AL9" s="49">
        <v>0.2135300925925926</v>
      </c>
      <c r="AM9" s="57">
        <v>0.2590162037037037</v>
      </c>
      <c r="AN9" s="57">
        <v>0.25971064814814815</v>
      </c>
      <c r="AO9" s="57">
        <v>0.2615625</v>
      </c>
      <c r="AP9" s="49">
        <v>0.253912037037037</v>
      </c>
      <c r="AQ9" s="49">
        <v>0.253912037037037</v>
      </c>
      <c r="AR9" s="49">
        <v>0.2563888888888889</v>
      </c>
      <c r="AS9" s="57">
        <v>0.27054398148148145</v>
      </c>
      <c r="AT9" s="57">
        <v>0.27054398148148145</v>
      </c>
      <c r="AU9" s="58">
        <v>0.2733333333333334</v>
      </c>
      <c r="AV9" s="49">
        <v>0.19274305555555557</v>
      </c>
      <c r="AW9" s="43"/>
      <c r="AX9" s="43"/>
      <c r="AY9" s="45"/>
    </row>
    <row r="10" spans="1:51" ht="13.5">
      <c r="A10" s="74" t="s">
        <v>7</v>
      </c>
      <c r="B10" s="21" t="s">
        <v>425</v>
      </c>
      <c r="C10" s="22" t="s">
        <v>456</v>
      </c>
      <c r="D10" s="23" t="s">
        <v>19</v>
      </c>
      <c r="E10" s="23" t="s">
        <v>457</v>
      </c>
      <c r="F10" s="24">
        <f t="shared" si="0"/>
        <v>0.006793981481481415</v>
      </c>
      <c r="G10" s="25">
        <f>(4-COUNT(U10,X10,AA10,AD10))*'штрафы-карточка'!$B$4+(6-COUNT(AE10,AL10,AM10,AP10,AS10,AV10))*'штрафы-карточка'!$B$5+(7-COUNT(W10,Z10,AC10,AG10,AO10,AR10,AU10))*'штрафы-карточка'!$B$3</f>
        <v>0</v>
      </c>
      <c r="H10" s="26">
        <f>VLOOKUP(D10,'штрафы-карточка'!$E$2:$L$300,2,FALSE)</f>
        <v>0</v>
      </c>
      <c r="I10" s="26">
        <f>VLOOKUP(D10,'штрафы-карточка'!$E$2:$L$300,3,FALSE)</f>
        <v>0</v>
      </c>
      <c r="J10" s="26">
        <f>VLOOKUP(D10,'штрафы-карточка'!$E$2:$L$300,4,FALSE)</f>
        <v>0</v>
      </c>
      <c r="K10" s="26">
        <f>VLOOKUP(D10,'штрафы-карточка'!$E$2:$L$300,5,FALSE)</f>
        <v>0</v>
      </c>
      <c r="L10" s="26">
        <f>VLOOKUP(D10,'штрафы-карточка'!$E$2:$L$300,6,FALSE)</f>
        <v>0</v>
      </c>
      <c r="M10" s="26">
        <f>VLOOKUP(D10,'штрафы-карточка'!$E$2:$L$300,7,FALSE)</f>
        <v>0</v>
      </c>
      <c r="N10" s="26">
        <f>VLOOKUP(D10,'штрафы-карточка'!$E$2:$L$300,8,FALSE)</f>
        <v>0</v>
      </c>
      <c r="O10" s="61">
        <f t="shared" si="1"/>
        <v>0.40306712962962965</v>
      </c>
      <c r="P10" s="49">
        <v>0.27125</v>
      </c>
      <c r="Q10" s="57">
        <v>0.05876157407407407</v>
      </c>
      <c r="R10" s="57"/>
      <c r="S10" s="49">
        <v>0.084375</v>
      </c>
      <c r="T10" s="49">
        <v>0.10914351851851851</v>
      </c>
      <c r="U10" s="57">
        <v>0.3691435185185185</v>
      </c>
      <c r="V10" s="57">
        <v>0.3691435185185185</v>
      </c>
      <c r="W10" s="57">
        <v>0.3714351851851852</v>
      </c>
      <c r="X10" s="49">
        <v>0.33958333333333335</v>
      </c>
      <c r="Y10" s="49">
        <v>0.34131944444444445</v>
      </c>
      <c r="Z10" s="49">
        <v>0.3445833333333333</v>
      </c>
      <c r="AA10" s="57">
        <v>0.32665509259259257</v>
      </c>
      <c r="AB10" s="57">
        <v>0.32665509259259257</v>
      </c>
      <c r="AC10" s="57">
        <v>0.32859953703703704</v>
      </c>
      <c r="AD10" s="49">
        <v>0.0416666666666667</v>
      </c>
      <c r="AE10" s="57">
        <v>0.14961805555555555</v>
      </c>
      <c r="AF10" s="57">
        <v>0.14961805555555555</v>
      </c>
      <c r="AG10" s="57">
        <v>0.1535763888888889</v>
      </c>
      <c r="AH10" s="49">
        <v>0.019791666666666666</v>
      </c>
      <c r="AI10" s="49">
        <v>0.19726851851851854</v>
      </c>
      <c r="AJ10" s="57">
        <v>0.20770833333333336</v>
      </c>
      <c r="AK10" s="57">
        <v>0.21552083333333336</v>
      </c>
      <c r="AL10" s="49">
        <v>0.22019675925925927</v>
      </c>
      <c r="AM10" s="57">
        <v>0.24269675925925926</v>
      </c>
      <c r="AN10" s="57">
        <v>0.24501157407407406</v>
      </c>
      <c r="AO10" s="57">
        <v>0.24638888888888888</v>
      </c>
      <c r="AP10" s="49">
        <v>0.2604166666666667</v>
      </c>
      <c r="AQ10" s="49">
        <v>0.2631597222222222</v>
      </c>
      <c r="AR10" s="49">
        <v>0.2668402777777778</v>
      </c>
      <c r="AS10" s="57">
        <v>0.40299768518518514</v>
      </c>
      <c r="AT10" s="57">
        <v>0.40299768518518514</v>
      </c>
      <c r="AU10" s="58">
        <v>0.4069444444444445</v>
      </c>
      <c r="AV10" s="49">
        <v>0.19474537037037035</v>
      </c>
      <c r="AW10" s="46">
        <v>0.3415856481481481</v>
      </c>
      <c r="AX10" s="43"/>
      <c r="AY10" s="43"/>
    </row>
    <row r="11" spans="1:51" ht="13.5">
      <c r="A11" s="74" t="s">
        <v>8</v>
      </c>
      <c r="B11" s="21" t="s">
        <v>425</v>
      </c>
      <c r="C11" s="22" t="s">
        <v>442</v>
      </c>
      <c r="D11" s="23" t="s">
        <v>1</v>
      </c>
      <c r="E11" s="23" t="s">
        <v>443</v>
      </c>
      <c r="F11" s="24">
        <f t="shared" si="0"/>
        <v>0.004930555555555605</v>
      </c>
      <c r="G11" s="25">
        <f>(4-COUNT(U11,X11,AA11,AD11))*'штрафы-карточка'!$B$4+(6-COUNT(AE11,AL11,AM11,AP11,AS11,AV11))*'штрафы-карточка'!$B$5+(7-COUNT(W11,Z11,AC11,AG11,AO11,AR11,AU11))*'штрафы-карточка'!$B$3</f>
        <v>0</v>
      </c>
      <c r="H11" s="26">
        <f>VLOOKUP(D11,'штрафы-карточка'!$E$2:$L$300,2,FALSE)</f>
        <v>0</v>
      </c>
      <c r="I11" s="26">
        <f>VLOOKUP(D11,'штрафы-карточка'!$E$2:$L$300,3,FALSE)</f>
        <v>0</v>
      </c>
      <c r="J11" s="26">
        <f>VLOOKUP(D11,'штрафы-карточка'!$E$2:$L$300,4,FALSE)</f>
        <v>0</v>
      </c>
      <c r="K11" s="26">
        <f>VLOOKUP(D11,'штрафы-карточка'!$E$2:$L$300,5,FALSE)</f>
        <v>60</v>
      </c>
      <c r="L11" s="26">
        <f>VLOOKUP(D11,'штрафы-карточка'!$E$2:$L$300,6,FALSE)</f>
        <v>0</v>
      </c>
      <c r="M11" s="26">
        <f>VLOOKUP(D11,'штрафы-карточка'!$E$2:$L$300,7,FALSE)</f>
        <v>0</v>
      </c>
      <c r="N11" s="26">
        <f>VLOOKUP(D11,'штрафы-карточка'!$E$2:$L$300,8,FALSE)</f>
        <v>0</v>
      </c>
      <c r="O11" s="61">
        <f t="shared" si="1"/>
        <v>0.4101273148148148</v>
      </c>
      <c r="P11" s="49">
        <v>0.24460648148148148</v>
      </c>
      <c r="Q11" s="57">
        <v>0.07163194444444444</v>
      </c>
      <c r="R11" s="57"/>
      <c r="S11" s="49">
        <v>0.10516203703703704</v>
      </c>
      <c r="T11" s="49">
        <v>0.12612268518518518</v>
      </c>
      <c r="U11" s="57">
        <v>0.28638888888888886</v>
      </c>
      <c r="V11" s="57">
        <v>0.29131944444444446</v>
      </c>
      <c r="W11" s="57">
        <v>0.2922800925925926</v>
      </c>
      <c r="X11" s="49">
        <v>0.2584837962962963</v>
      </c>
      <c r="Y11" s="49">
        <v>0.2584837962962963</v>
      </c>
      <c r="Z11" s="49">
        <v>0.25993055555555555</v>
      </c>
      <c r="AA11" s="57">
        <v>0.3204282407407408</v>
      </c>
      <c r="AB11" s="57">
        <v>0.3204282407407408</v>
      </c>
      <c r="AC11" s="57">
        <v>0.3211689814814815</v>
      </c>
      <c r="AD11" s="49">
        <v>0.041666666666666664</v>
      </c>
      <c r="AE11" s="57">
        <v>0.16056712962962963</v>
      </c>
      <c r="AF11" s="57">
        <v>0.16056712962962963</v>
      </c>
      <c r="AG11" s="57">
        <v>0.16344907407407408</v>
      </c>
      <c r="AH11" s="49">
        <v>0.03</v>
      </c>
      <c r="AI11" s="49">
        <v>0.20881944444444445</v>
      </c>
      <c r="AJ11" s="57">
        <v>0.19627314814814814</v>
      </c>
      <c r="AK11" s="57">
        <v>0.20376157407407405</v>
      </c>
      <c r="AL11" s="49">
        <v>0.020497685185185185</v>
      </c>
      <c r="AM11" s="57">
        <v>0.22574074074074071</v>
      </c>
      <c r="AN11" s="57">
        <v>0.22574074074074071</v>
      </c>
      <c r="AO11" s="57">
        <v>0.22690972222222225</v>
      </c>
      <c r="AP11" s="49">
        <v>0.23877314814814818</v>
      </c>
      <c r="AQ11" s="49">
        <v>0.23877314814814818</v>
      </c>
      <c r="AR11" s="49">
        <v>0.24136574074074071</v>
      </c>
      <c r="AS11" s="57">
        <v>0.2479513888888889</v>
      </c>
      <c r="AT11" s="57">
        <v>0.2479513888888889</v>
      </c>
      <c r="AU11" s="58">
        <v>0.24936342592592595</v>
      </c>
      <c r="AV11" s="49">
        <v>0.03416666666666667</v>
      </c>
      <c r="AW11" s="43"/>
      <c r="AX11" s="43"/>
      <c r="AY11" s="43"/>
    </row>
    <row r="12" spans="1:51" ht="13.5">
      <c r="A12" s="74" t="s">
        <v>9</v>
      </c>
      <c r="B12" s="21" t="s">
        <v>425</v>
      </c>
      <c r="C12" s="22" t="s">
        <v>460</v>
      </c>
      <c r="D12" s="23" t="s">
        <v>26</v>
      </c>
      <c r="E12" s="23" t="s">
        <v>461</v>
      </c>
      <c r="F12" s="24">
        <f t="shared" si="0"/>
        <v>0.005231481481481448</v>
      </c>
      <c r="G12" s="25">
        <f>(4-COUNT(U12,X12,AA12,AD12))*'штрафы-карточка'!$B$4+(6-COUNT(AE12,AL12,AM12,AP12,AS12,AV12))*'штрафы-карточка'!$B$5+(7-COUNT(W12,Z12,AC12,AG12,AO12,AR12,AU12))*'штрафы-карточка'!$B$3</f>
        <v>0</v>
      </c>
      <c r="H12" s="26">
        <f>VLOOKUP(D12,'штрафы-карточка'!$E$2:$L$300,2,FALSE)</f>
        <v>0</v>
      </c>
      <c r="I12" s="26">
        <f>VLOOKUP(D12,'штрафы-карточка'!$E$2:$L$300,3,FALSE)</f>
        <v>0</v>
      </c>
      <c r="J12" s="26">
        <f>VLOOKUP(D12,'штрафы-карточка'!$E$2:$L$300,4,FALSE)</f>
        <v>0</v>
      </c>
      <c r="K12" s="26">
        <f>VLOOKUP(D12,'штрафы-карточка'!$E$2:$L$300,5,FALSE)</f>
        <v>0</v>
      </c>
      <c r="L12" s="26">
        <f>VLOOKUP(D12,'штрафы-карточка'!$E$2:$L$300,6,FALSE)</f>
        <v>0</v>
      </c>
      <c r="M12" s="26">
        <f>VLOOKUP(D12,'штрафы-карточка'!$E$2:$L$300,7,FALSE)</f>
        <v>0</v>
      </c>
      <c r="N12" s="26">
        <f>VLOOKUP(D12,'штрафы-карточка'!$E$2:$L$300,8,FALSE)</f>
        <v>0</v>
      </c>
      <c r="O12" s="61">
        <f t="shared" si="1"/>
        <v>0.4109490740740741</v>
      </c>
      <c r="P12" s="49">
        <v>0.26846064814814813</v>
      </c>
      <c r="Q12" s="57">
        <v>0.08314814814814815</v>
      </c>
      <c r="R12" s="57"/>
      <c r="S12" s="49">
        <v>0.12351851851851851</v>
      </c>
      <c r="T12" s="49">
        <v>0.14569444444444443</v>
      </c>
      <c r="U12" s="57">
        <v>0.39359953703703704</v>
      </c>
      <c r="V12" s="57">
        <v>0.39567129629629627</v>
      </c>
      <c r="W12" s="57">
        <v>0.39811342592592597</v>
      </c>
      <c r="X12" s="49">
        <v>0.35694444444444445</v>
      </c>
      <c r="Y12" s="49">
        <v>0.358287037037037</v>
      </c>
      <c r="Z12" s="49">
        <v>0.3662268518518519</v>
      </c>
      <c r="AA12" s="57">
        <v>0.3392361111111111</v>
      </c>
      <c r="AB12" s="57">
        <v>0.3392361111111111</v>
      </c>
      <c r="AC12" s="57">
        <v>0.3410532407407407</v>
      </c>
      <c r="AD12" s="49">
        <v>0.0416666666666667</v>
      </c>
      <c r="AE12" s="57">
        <v>0.17775462962962962</v>
      </c>
      <c r="AF12" s="57">
        <v>0.17775462962962962</v>
      </c>
      <c r="AG12" s="57">
        <v>0.17998842592592593</v>
      </c>
      <c r="AH12" s="49">
        <v>0.034479166666666665</v>
      </c>
      <c r="AI12" s="49">
        <v>0.21225694444444443</v>
      </c>
      <c r="AJ12" s="57">
        <v>0.22526620370370368</v>
      </c>
      <c r="AK12" s="57">
        <v>0.2338310185185185</v>
      </c>
      <c r="AL12" s="49">
        <v>0.22174768518518517</v>
      </c>
      <c r="AM12" s="57">
        <v>0.0043518518518518515</v>
      </c>
      <c r="AN12" s="57">
        <v>0.006168981481481481</v>
      </c>
      <c r="AO12" s="57">
        <v>0.007222222222222223</v>
      </c>
      <c r="AP12" s="49">
        <v>0.26011574074074073</v>
      </c>
      <c r="AQ12" s="49">
        <v>0.26011574074074073</v>
      </c>
      <c r="AR12" s="49">
        <v>0.26391203703703703</v>
      </c>
      <c r="AS12" s="57">
        <v>0.28078703703703706</v>
      </c>
      <c r="AT12" s="57">
        <v>0.28078703703703706</v>
      </c>
      <c r="AU12" s="58">
        <v>0.2844328703703704</v>
      </c>
      <c r="AV12" s="49">
        <v>0.03836805555555555</v>
      </c>
      <c r="AW12" s="43"/>
      <c r="AX12" s="43"/>
      <c r="AY12" s="43"/>
    </row>
    <row r="13" spans="1:51" ht="13.5">
      <c r="A13" s="74" t="s">
        <v>10</v>
      </c>
      <c r="B13" s="21" t="s">
        <v>425</v>
      </c>
      <c r="C13" s="22" t="s">
        <v>466</v>
      </c>
      <c r="D13" s="23" t="s">
        <v>24</v>
      </c>
      <c r="E13" s="23" t="s">
        <v>467</v>
      </c>
      <c r="F13" s="24">
        <f t="shared" si="0"/>
        <v>0.004837962962962961</v>
      </c>
      <c r="G13" s="25">
        <f>(4-COUNT(U13,X13,AA13,AD13))*'штрафы-карточка'!$B$4+(6-COUNT(AE13,AL13,AM13,AP13,AS13,AV13))*'штрафы-карточка'!$B$5+(7-COUNT(W13,Z13,AC13,AG13,AO13,AR13,AU13))*'штрафы-карточка'!$B$3</f>
        <v>0</v>
      </c>
      <c r="H13" s="26">
        <f>VLOOKUP(D13,'штрафы-карточка'!$E$2:$L$300,2,FALSE)</f>
        <v>0</v>
      </c>
      <c r="I13" s="26">
        <f>VLOOKUP(D13,'штрафы-карточка'!$E$2:$L$300,3,FALSE)</f>
        <v>0</v>
      </c>
      <c r="J13" s="26">
        <f>VLOOKUP(D13,'штрафы-карточка'!$E$2:$L$300,4,FALSE)</f>
        <v>0</v>
      </c>
      <c r="K13" s="26">
        <f>VLOOKUP(D13,'штрафы-карточка'!$E$2:$L$300,5,FALSE)</f>
        <v>0</v>
      </c>
      <c r="L13" s="26">
        <f>VLOOKUP(D13,'штрафы-карточка'!$E$2:$L$300,6,FALSE)</f>
        <v>0</v>
      </c>
      <c r="M13" s="26">
        <f>VLOOKUP(D13,'штрафы-карточка'!$E$2:$L$300,7,FALSE)</f>
        <v>0</v>
      </c>
      <c r="N13" s="26">
        <f>VLOOKUP(D13,'штрафы-карточка'!$E$2:$L$300,8,FALSE)</f>
        <v>0</v>
      </c>
      <c r="O13" s="61">
        <f t="shared" si="1"/>
        <v>0.4324189814814815</v>
      </c>
      <c r="P13" s="49">
        <v>0.2930671296296296</v>
      </c>
      <c r="Q13" s="57">
        <v>0.10815972222222221</v>
      </c>
      <c r="R13" s="57"/>
      <c r="S13" s="49">
        <v>0.15635416666666666</v>
      </c>
      <c r="T13" s="49">
        <v>0.18631944444444445</v>
      </c>
      <c r="U13" s="57">
        <v>0.345</v>
      </c>
      <c r="V13" s="57">
        <v>0.345</v>
      </c>
      <c r="W13" s="57">
        <v>0.3466782407407407</v>
      </c>
      <c r="X13" s="49">
        <v>0.31517361111111114</v>
      </c>
      <c r="Y13" s="49">
        <v>0.3158680555555556</v>
      </c>
      <c r="Z13" s="49">
        <v>0.319212962962963</v>
      </c>
      <c r="AA13" s="57">
        <v>0.37582175925925926</v>
      </c>
      <c r="AB13" s="57">
        <v>0.37582175925925926</v>
      </c>
      <c r="AC13" s="57">
        <v>0.37767361111111114</v>
      </c>
      <c r="AD13" s="49">
        <v>0.0416666666666667</v>
      </c>
      <c r="AE13" s="57">
        <v>0.21112268518518518</v>
      </c>
      <c r="AF13" s="57">
        <v>0.21112268518518518</v>
      </c>
      <c r="AG13" s="57">
        <v>0.21533564814814812</v>
      </c>
      <c r="AH13" s="49">
        <v>0.05592592592592593</v>
      </c>
      <c r="AI13" s="49">
        <v>0.25016203703703704</v>
      </c>
      <c r="AJ13" s="57">
        <v>0.03297453703703704</v>
      </c>
      <c r="AK13" s="57">
        <v>0.040185185185185185</v>
      </c>
      <c r="AL13" s="49">
        <v>0.029409722222222223</v>
      </c>
      <c r="AM13" s="57">
        <v>0.2668287037037037</v>
      </c>
      <c r="AN13" s="57">
        <v>0.2668287037037037</v>
      </c>
      <c r="AO13" s="57">
        <v>0.2689236111111111</v>
      </c>
      <c r="AP13" s="49">
        <v>0.28033564814814815</v>
      </c>
      <c r="AQ13" s="49">
        <v>0.28447916666666667</v>
      </c>
      <c r="AR13" s="49">
        <v>0.2892708333333333</v>
      </c>
      <c r="AS13" s="57">
        <v>0.43202546296296296</v>
      </c>
      <c r="AT13" s="57">
        <v>0.43202546296296296</v>
      </c>
      <c r="AU13" s="58">
        <v>0.43430555555555556</v>
      </c>
      <c r="AV13" s="49">
        <v>0.061377314814814815</v>
      </c>
      <c r="AW13" s="43"/>
      <c r="AX13" s="43"/>
      <c r="AY13" s="43"/>
    </row>
    <row r="14" spans="1:51" s="20" customFormat="1" ht="13.5">
      <c r="A14" s="74" t="s">
        <v>11</v>
      </c>
      <c r="B14" s="21" t="s">
        <v>425</v>
      </c>
      <c r="C14" s="22" t="s">
        <v>436</v>
      </c>
      <c r="D14" s="23" t="s">
        <v>11</v>
      </c>
      <c r="E14" s="23" t="s">
        <v>437</v>
      </c>
      <c r="F14" s="24">
        <f t="shared" si="0"/>
        <v>0.005706018518518485</v>
      </c>
      <c r="G14" s="25">
        <f>(4-COUNT(U14,X14,AA14,AD14))*'штрафы-карточка'!$B$4+(6-COUNT(AE14,AL14,AM14,AP14,AS14,AV14))*'штрафы-карточка'!$B$5+(7-COUNT(W14,Z14,AC14,AG14,AO14,AR14,AU14))*'штрафы-карточка'!$B$3</f>
        <v>0</v>
      </c>
      <c r="H14" s="26">
        <f>VLOOKUP(D14,'штрафы-карточка'!$E$2:$L$300,2,FALSE)</f>
        <v>0</v>
      </c>
      <c r="I14" s="26">
        <f>VLOOKUP(D14,'штрафы-карточка'!$E$2:$L$300,3,FALSE)</f>
        <v>0</v>
      </c>
      <c r="J14" s="26">
        <f>VLOOKUP(D14,'штрафы-карточка'!$E$2:$L$300,4,FALSE)</f>
        <v>0</v>
      </c>
      <c r="K14" s="26">
        <f>VLOOKUP(D14,'штрафы-карточка'!$E$2:$L$300,5,FALSE)</f>
        <v>0</v>
      </c>
      <c r="L14" s="26">
        <f>VLOOKUP(D14,'штрафы-карточка'!$E$2:$L$300,6,FALSE)</f>
        <v>0</v>
      </c>
      <c r="M14" s="26">
        <f>VLOOKUP(D14,'штрафы-карточка'!$E$2:$L$300,7,FALSE)</f>
        <v>150</v>
      </c>
      <c r="N14" s="26">
        <f>VLOOKUP(D14,'штрафы-карточка'!$E$2:$L$300,8,FALSE)</f>
        <v>0</v>
      </c>
      <c r="O14" s="61">
        <f t="shared" si="1"/>
        <v>0.4449189814814815</v>
      </c>
      <c r="P14" s="49">
        <v>0.2255787037037037</v>
      </c>
      <c r="Q14" s="57">
        <v>0.06533564814814814</v>
      </c>
      <c r="R14" s="57"/>
      <c r="S14" s="49">
        <v>0.08430555555555556</v>
      </c>
      <c r="T14" s="49">
        <v>0.10876157407407407</v>
      </c>
      <c r="U14" s="57">
        <v>0.2591435185185185</v>
      </c>
      <c r="V14" s="57">
        <v>0.2597453703703704</v>
      </c>
      <c r="W14" s="57">
        <v>0.2612152777777778</v>
      </c>
      <c r="X14" s="49">
        <v>0.2423263888888889</v>
      </c>
      <c r="Y14" s="49">
        <v>0.24326388888888886</v>
      </c>
      <c r="Z14" s="49">
        <v>0.24530092592592592</v>
      </c>
      <c r="AA14" s="57">
        <v>0.293287037037037</v>
      </c>
      <c r="AB14" s="57">
        <v>0.29560185185185184</v>
      </c>
      <c r="AC14" s="57">
        <v>0.29651620370370374</v>
      </c>
      <c r="AD14" s="49">
        <v>0.0416666666666667</v>
      </c>
      <c r="AE14" s="57">
        <v>0.13900462962962964</v>
      </c>
      <c r="AF14" s="57">
        <v>0.13900462962962964</v>
      </c>
      <c r="AG14" s="57">
        <v>0.14226851851851852</v>
      </c>
      <c r="AH14" s="49">
        <v>0.03777777777777778</v>
      </c>
      <c r="AI14" s="49">
        <v>0.18</v>
      </c>
      <c r="AJ14" s="57"/>
      <c r="AK14" s="57"/>
      <c r="AL14" s="49">
        <v>0.029201388888888888</v>
      </c>
      <c r="AM14" s="57">
        <v>0.20017361111111112</v>
      </c>
      <c r="AN14" s="57">
        <v>0.20017361111111112</v>
      </c>
      <c r="AO14" s="57">
        <v>0.20173611111111112</v>
      </c>
      <c r="AP14" s="49">
        <v>0.21650462962962966</v>
      </c>
      <c r="AQ14" s="49">
        <v>0.21835648148148148</v>
      </c>
      <c r="AR14" s="49">
        <v>0.22166666666666668</v>
      </c>
      <c r="AS14" s="57">
        <v>0.34221064814814817</v>
      </c>
      <c r="AT14" s="57">
        <v>0.34221064814814817</v>
      </c>
      <c r="AU14" s="58">
        <v>0.34467592592592594</v>
      </c>
      <c r="AV14" s="49">
        <v>0.17791666666666664</v>
      </c>
      <c r="AW14" s="43"/>
      <c r="AX14" s="43"/>
      <c r="AY14" s="43"/>
    </row>
    <row r="15" spans="1:51" ht="13.5">
      <c r="A15" s="74" t="s">
        <v>12</v>
      </c>
      <c r="B15" s="21" t="s">
        <v>425</v>
      </c>
      <c r="C15" s="22" t="s">
        <v>438</v>
      </c>
      <c r="D15" s="23" t="s">
        <v>7</v>
      </c>
      <c r="E15" s="23" t="s">
        <v>439</v>
      </c>
      <c r="F15" s="24">
        <f t="shared" si="0"/>
        <v>0.010162037037036942</v>
      </c>
      <c r="G15" s="25">
        <f>(4-COUNT(U15,X15,AA15,AD15))*'штрафы-карточка'!$B$4+(6-COUNT(AE15,AL15,AM15,AP15,AS15,AV15))*'штрафы-карточка'!$B$5+(7-COUNT(W15,Z15,AC15,AG15,AO15,AR15,AU15))*'штрафы-карточка'!$B$3</f>
        <v>0</v>
      </c>
      <c r="H15" s="26">
        <f>VLOOKUP(D15,'штрафы-карточка'!$E$2:$L$300,2,FALSE)</f>
        <v>0</v>
      </c>
      <c r="I15" s="26">
        <f>VLOOKUP(D15,'штрафы-карточка'!$E$2:$L$300,3,FALSE)</f>
        <v>0</v>
      </c>
      <c r="J15" s="26">
        <f>VLOOKUP(D15,'штрафы-карточка'!$E$2:$L$300,4,FALSE)</f>
        <v>0</v>
      </c>
      <c r="K15" s="26">
        <f>VLOOKUP(D15,'штрафы-карточка'!$E$2:$L$300,5,FALSE)</f>
        <v>0</v>
      </c>
      <c r="L15" s="26">
        <f>VLOOKUP(D15,'штрафы-карточка'!$E$2:$L$300,6,FALSE)</f>
        <v>0</v>
      </c>
      <c r="M15" s="26">
        <f>VLOOKUP(D15,'штрафы-карточка'!$E$2:$L$300,7,FALSE)</f>
        <v>150</v>
      </c>
      <c r="N15" s="26">
        <f>VLOOKUP(D15,'штрафы-карточка'!$E$2:$L$300,8,FALSE)</f>
        <v>0</v>
      </c>
      <c r="O15" s="61">
        <f t="shared" si="1"/>
        <v>0.4498611111111112</v>
      </c>
      <c r="P15" s="49">
        <v>0.22577546296296294</v>
      </c>
      <c r="Q15" s="57">
        <v>0.05545138888888889</v>
      </c>
      <c r="R15" s="57"/>
      <c r="S15" s="49">
        <v>0.07133101851851852</v>
      </c>
      <c r="T15" s="49">
        <v>0.09362268518518518</v>
      </c>
      <c r="U15" s="57">
        <v>0.3299884259259259</v>
      </c>
      <c r="V15" s="57">
        <v>0.3299884259259259</v>
      </c>
      <c r="W15" s="57">
        <v>0.33143518518518517</v>
      </c>
      <c r="X15" s="49">
        <v>0.3098148148148148</v>
      </c>
      <c r="Y15" s="49">
        <v>0.31255787037037036</v>
      </c>
      <c r="Z15" s="49">
        <v>0.31484953703703705</v>
      </c>
      <c r="AA15" s="57">
        <v>0.2761805555555556</v>
      </c>
      <c r="AB15" s="57">
        <v>0.2806134259259259</v>
      </c>
      <c r="AC15" s="57">
        <v>0.2813541666666666</v>
      </c>
      <c r="AD15" s="49">
        <v>0.0416666666666667</v>
      </c>
      <c r="AE15" s="57">
        <v>0.13422453703703704</v>
      </c>
      <c r="AF15" s="57">
        <v>0.13422453703703704</v>
      </c>
      <c r="AG15" s="57">
        <v>0.13873842592592592</v>
      </c>
      <c r="AH15" s="49">
        <v>0.015833333333333335</v>
      </c>
      <c r="AI15" s="49">
        <v>0.16841435185185186</v>
      </c>
      <c r="AJ15" s="57"/>
      <c r="AK15" s="57"/>
      <c r="AL15" s="49">
        <v>0.18378472222222222</v>
      </c>
      <c r="AM15" s="57">
        <v>0.2072800925925926</v>
      </c>
      <c r="AN15" s="57">
        <v>0.2072800925925926</v>
      </c>
      <c r="AO15" s="57">
        <v>0.20837962962962964</v>
      </c>
      <c r="AP15" s="49">
        <v>0.2176388888888889</v>
      </c>
      <c r="AQ15" s="49">
        <v>0.220625</v>
      </c>
      <c r="AR15" s="49">
        <v>0.22290509259259259</v>
      </c>
      <c r="AS15" s="57">
        <v>0.23142361111111112</v>
      </c>
      <c r="AT15" s="57">
        <v>0.23142361111111112</v>
      </c>
      <c r="AU15" s="58">
        <v>0.23496527777777776</v>
      </c>
      <c r="AV15" s="49">
        <v>0.16630787037037037</v>
      </c>
      <c r="AW15" s="43"/>
      <c r="AX15" s="43"/>
      <c r="AY15" s="43"/>
    </row>
    <row r="16" spans="1:51" ht="13.5">
      <c r="A16" s="74" t="s">
        <v>14</v>
      </c>
      <c r="B16" s="21" t="s">
        <v>425</v>
      </c>
      <c r="C16" s="22" t="s">
        <v>428</v>
      </c>
      <c r="D16" s="23" t="s">
        <v>25</v>
      </c>
      <c r="E16" s="23" t="s">
        <v>429</v>
      </c>
      <c r="F16" s="24">
        <f t="shared" si="0"/>
        <v>0.008101851851851832</v>
      </c>
      <c r="G16" s="25">
        <f>(4-COUNT(U16,X16,AA16,AD16))*'штрафы-карточка'!$B$4+(6-COUNT(AE16,AL16,AM16,AP16,AS16,AV16))*'штрафы-карточка'!$B$5+(7-COUNT(W16,Z16,AC16,AG16,AO16,AR16,AU16))*'штрафы-карточка'!$B$3</f>
        <v>0</v>
      </c>
      <c r="H16" s="26">
        <f>VLOOKUP(D16,'штрафы-карточка'!$E$2:$L$300,2,FALSE)</f>
        <v>0</v>
      </c>
      <c r="I16" s="26">
        <f>VLOOKUP(D16,'штрафы-карточка'!$E$2:$L$300,3,FALSE)</f>
        <v>0</v>
      </c>
      <c r="J16" s="26">
        <f>VLOOKUP(D16,'штрафы-карточка'!$E$2:$L$300,4,FALSE)</f>
        <v>0</v>
      </c>
      <c r="K16" s="26">
        <f>VLOOKUP(D16,'штрафы-карточка'!$E$2:$L$300,5,FALSE)</f>
        <v>360</v>
      </c>
      <c r="L16" s="26">
        <f>VLOOKUP(D16,'штрафы-карточка'!$E$2:$L$300,6,FALSE)</f>
        <v>0</v>
      </c>
      <c r="M16" s="26">
        <f>VLOOKUP(D16,'штрафы-карточка'!$E$2:$L$300,7,FALSE)</f>
        <v>0</v>
      </c>
      <c r="N16" s="26">
        <f>VLOOKUP(D16,'штрафы-карточка'!$E$2:$L$300,8,FALSE)</f>
        <v>0</v>
      </c>
      <c r="O16" s="61">
        <f t="shared" si="1"/>
        <v>0.5743402777777779</v>
      </c>
      <c r="P16" s="49">
        <v>0.20605324074074075</v>
      </c>
      <c r="Q16" s="57">
        <v>0.08732638888888888</v>
      </c>
      <c r="R16" s="57"/>
      <c r="S16" s="49"/>
      <c r="T16" s="49"/>
      <c r="U16" s="57">
        <v>0.3022222222222222</v>
      </c>
      <c r="V16" s="57">
        <v>0.3095023148148148</v>
      </c>
      <c r="W16" s="57">
        <v>0.31103009259259257</v>
      </c>
      <c r="X16" s="49">
        <v>0.2778009259259259</v>
      </c>
      <c r="Y16" s="49">
        <v>0.2778009259259259</v>
      </c>
      <c r="Z16" s="49">
        <v>0.2797685185185185</v>
      </c>
      <c r="AA16" s="57">
        <v>0.2582291666666667</v>
      </c>
      <c r="AB16" s="57">
        <v>0.2582291666666667</v>
      </c>
      <c r="AC16" s="57">
        <v>0.25916666666666666</v>
      </c>
      <c r="AD16" s="49">
        <v>0.0416666666666667</v>
      </c>
      <c r="AE16" s="57">
        <v>0.13282407407407407</v>
      </c>
      <c r="AF16" s="57">
        <v>0.13282407407407407</v>
      </c>
      <c r="AG16" s="57">
        <v>0.13546296296296298</v>
      </c>
      <c r="AH16" s="49">
        <v>0.041666666666666664</v>
      </c>
      <c r="AI16" s="49">
        <v>0.16633101851851853</v>
      </c>
      <c r="AJ16" s="57">
        <v>0.030208333333333334</v>
      </c>
      <c r="AK16" s="57">
        <v>0.03387731481481481</v>
      </c>
      <c r="AL16" s="49">
        <v>0.02681712962962963</v>
      </c>
      <c r="AM16" s="57">
        <v>0.1833564814814815</v>
      </c>
      <c r="AN16" s="57">
        <v>0.18417824074074074</v>
      </c>
      <c r="AO16" s="57">
        <v>0.18519675925925927</v>
      </c>
      <c r="AP16" s="49">
        <v>0.18855324074074073</v>
      </c>
      <c r="AQ16" s="49">
        <v>0.18855324074074073</v>
      </c>
      <c r="AR16" s="49">
        <v>0.20182870370370373</v>
      </c>
      <c r="AS16" s="57">
        <v>0.21341435185185187</v>
      </c>
      <c r="AT16" s="57">
        <v>0.21341435185185187</v>
      </c>
      <c r="AU16" s="58">
        <v>0.21701388888888887</v>
      </c>
      <c r="AV16" s="49">
        <v>0.16332175925925926</v>
      </c>
      <c r="AW16" s="43"/>
      <c r="AX16" s="43"/>
      <c r="AY16" s="43"/>
    </row>
    <row r="17" spans="1:51" ht="13.5">
      <c r="A17" s="74" t="s">
        <v>15</v>
      </c>
      <c r="B17" s="21" t="s">
        <v>425</v>
      </c>
      <c r="C17" s="22" t="s">
        <v>462</v>
      </c>
      <c r="D17" s="23" t="s">
        <v>18</v>
      </c>
      <c r="E17" s="23" t="s">
        <v>463</v>
      </c>
      <c r="F17" s="24">
        <f t="shared" si="0"/>
        <v>0.010162037037036997</v>
      </c>
      <c r="G17" s="25">
        <f>(4-COUNT(U17,X17,AA17,AD17))*'штрафы-карточка'!$B$4+(6-COUNT(AE17,AL17,AM17,AP17,AS17,AV17))*'штрафы-карточка'!$B$5+(7-COUNT(W17,Z17,AC17,AG17,AO17,AR17,AU17))*'штрафы-карточка'!$B$3</f>
        <v>0</v>
      </c>
      <c r="H17" s="26">
        <f>VLOOKUP(D17,'штрафы-карточка'!$E$2:$L$300,2,FALSE)</f>
        <v>0</v>
      </c>
      <c r="I17" s="26">
        <f>VLOOKUP(D17,'штрафы-карточка'!$E$2:$L$300,3,FALSE)</f>
        <v>0</v>
      </c>
      <c r="J17" s="26">
        <f>VLOOKUP(D17,'штрафы-карточка'!$E$2:$L$300,4,FALSE)</f>
        <v>0</v>
      </c>
      <c r="K17" s="26">
        <f>VLOOKUP(D17,'штрафы-карточка'!$E$2:$L$300,5,FALSE)</f>
        <v>360</v>
      </c>
      <c r="L17" s="26">
        <f>VLOOKUP(D17,'штрафы-карточка'!$E$2:$L$300,6,FALSE)</f>
        <v>0</v>
      </c>
      <c r="M17" s="26">
        <f>VLOOKUP(D17,'штрафы-карточка'!$E$2:$L$300,7,FALSE)</f>
        <v>0</v>
      </c>
      <c r="N17" s="26">
        <f>VLOOKUP(D17,'штрафы-карточка'!$E$2:$L$300,8,FALSE)</f>
        <v>0</v>
      </c>
      <c r="O17" s="61">
        <f t="shared" si="1"/>
        <v>0.6637615740740741</v>
      </c>
      <c r="P17" s="49">
        <v>0.247025462962963</v>
      </c>
      <c r="Q17" s="57">
        <v>0.09120370370370372</v>
      </c>
      <c r="R17" s="57"/>
      <c r="S17" s="49"/>
      <c r="T17" s="49"/>
      <c r="U17" s="57">
        <v>0.3070717592592593</v>
      </c>
      <c r="V17" s="57">
        <v>0.3107986111111111</v>
      </c>
      <c r="W17" s="57">
        <v>0.3123148148148148</v>
      </c>
      <c r="X17" s="49">
        <v>0.2850347222222222</v>
      </c>
      <c r="Y17" s="49">
        <v>0.28594907407407405</v>
      </c>
      <c r="Z17" s="49">
        <v>0.28832175925925924</v>
      </c>
      <c r="AA17" s="57">
        <v>0.3620601851851852</v>
      </c>
      <c r="AB17" s="57">
        <v>0.3665162037037037</v>
      </c>
      <c r="AC17" s="57">
        <v>0.36755787037037035</v>
      </c>
      <c r="AD17" s="49">
        <v>0.0416666666666667</v>
      </c>
      <c r="AE17" s="57">
        <v>0.16712962962962963</v>
      </c>
      <c r="AF17" s="57">
        <v>0.16712962962962963</v>
      </c>
      <c r="AG17" s="57">
        <v>0.17015046296296296</v>
      </c>
      <c r="AH17" s="49">
        <v>0.04590277777777777</v>
      </c>
      <c r="AI17" s="49">
        <v>0.20244212962962962</v>
      </c>
      <c r="AJ17" s="57">
        <v>0.03738425925925926</v>
      </c>
      <c r="AK17" s="57">
        <v>0.042673611111111114</v>
      </c>
      <c r="AL17" s="49">
        <v>0.02694444444444444</v>
      </c>
      <c r="AM17" s="57">
        <v>0.2391087962962963</v>
      </c>
      <c r="AN17" s="57">
        <v>0.2401736111111111</v>
      </c>
      <c r="AO17" s="57">
        <v>0.24207175925925925</v>
      </c>
      <c r="AP17" s="49">
        <v>0.2325810185185185</v>
      </c>
      <c r="AQ17" s="49">
        <v>0.2325810185185185</v>
      </c>
      <c r="AR17" s="49">
        <v>0.2369212962962963</v>
      </c>
      <c r="AS17" s="57">
        <v>0.2579861111111111</v>
      </c>
      <c r="AT17" s="57">
        <v>0.2579861111111111</v>
      </c>
      <c r="AU17" s="58">
        <v>0.26337962962962963</v>
      </c>
      <c r="AV17" s="49">
        <v>0.05077546296296296</v>
      </c>
      <c r="AW17" s="43"/>
      <c r="AX17" s="43"/>
      <c r="AY17" s="43"/>
    </row>
    <row r="18" spans="1:51" ht="13.5">
      <c r="A18" s="74" t="s">
        <v>16</v>
      </c>
      <c r="B18" s="21" t="s">
        <v>425</v>
      </c>
      <c r="C18" s="22" t="s">
        <v>458</v>
      </c>
      <c r="D18" s="23" t="s">
        <v>8</v>
      </c>
      <c r="E18" s="23" t="s">
        <v>459</v>
      </c>
      <c r="F18" s="24">
        <f t="shared" si="0"/>
        <v>0.0006249999999999867</v>
      </c>
      <c r="G18" s="25">
        <f>(4-COUNT(U18,X18,AA18,AD18))*'штрафы-карточка'!$B$4+(6-COUNT(AE18,AL18,AM18,AP18,AS18,AV18))*'штрафы-карточка'!$B$5+(7-COUNT(W18,Z18,AC18,AG18,AO18,AR18,AU18))*'штрафы-карточка'!$B$3</f>
        <v>0</v>
      </c>
      <c r="H18" s="26">
        <f>VLOOKUP(D18,'штрафы-карточка'!$E$2:$L$300,2,FALSE)</f>
        <v>0</v>
      </c>
      <c r="I18" s="26">
        <f>VLOOKUP(D18,'штрафы-карточка'!$E$2:$L$300,3,FALSE)</f>
        <v>120</v>
      </c>
      <c r="J18" s="26">
        <f>VLOOKUP(D18,'штрафы-карточка'!$E$2:$L$300,4,FALSE)</f>
        <v>0</v>
      </c>
      <c r="K18" s="26">
        <f>VLOOKUP(D18,'штрафы-карточка'!$E$2:$L$300,5,FALSE)</f>
        <v>0</v>
      </c>
      <c r="L18" s="26">
        <f>VLOOKUP(D18,'штрафы-карточка'!$E$2:$L$300,6,FALSE)</f>
        <v>120</v>
      </c>
      <c r="M18" s="26">
        <f>VLOOKUP(D18,'штрафы-карточка'!$E$2:$L$300,7,FALSE)</f>
        <v>150</v>
      </c>
      <c r="N18" s="26">
        <f>VLOOKUP(D18,'штрафы-карточка'!$E$2:$L$300,8,FALSE)</f>
        <v>0</v>
      </c>
      <c r="O18" s="61">
        <f t="shared" si="1"/>
        <v>0.676412037037037</v>
      </c>
      <c r="P18" s="49">
        <v>0.28556712962962966</v>
      </c>
      <c r="Q18" s="57">
        <v>0.09375</v>
      </c>
      <c r="R18" s="57"/>
      <c r="S18" s="49">
        <v>0.13310185185185186</v>
      </c>
      <c r="T18" s="49">
        <v>0.16668981481481482</v>
      </c>
      <c r="U18" s="57">
        <v>0.381400462962963</v>
      </c>
      <c r="V18" s="57">
        <v>0.381400462962963</v>
      </c>
      <c r="W18" s="57">
        <v>0.3827083333333334</v>
      </c>
      <c r="X18" s="49">
        <v>0.36421296296296296</v>
      </c>
      <c r="Y18" s="49">
        <v>0.36483796296296295</v>
      </c>
      <c r="Z18" s="49">
        <v>0.3663194444444444</v>
      </c>
      <c r="AA18" s="57">
        <v>0.3524768518518519</v>
      </c>
      <c r="AB18" s="57">
        <v>0.3524768518518519</v>
      </c>
      <c r="AC18" s="57">
        <v>0.3532986111111111</v>
      </c>
      <c r="AD18" s="49">
        <v>0.0416666666666667</v>
      </c>
      <c r="AE18" s="57">
        <v>0.18893518518518518</v>
      </c>
      <c r="AF18" s="57">
        <v>0.18893518518518518</v>
      </c>
      <c r="AG18" s="57">
        <v>0.19253472222222223</v>
      </c>
      <c r="AH18" s="49">
        <v>0.035868055555555556</v>
      </c>
      <c r="AI18" s="49">
        <v>0.2378935185185185</v>
      </c>
      <c r="AJ18" s="57"/>
      <c r="AK18" s="57"/>
      <c r="AL18" s="49">
        <v>0.023703703703703703</v>
      </c>
      <c r="AM18" s="57">
        <v>0.264375</v>
      </c>
      <c r="AN18" s="57">
        <v>0.264375</v>
      </c>
      <c r="AO18" s="57">
        <v>0.2655324074074074</v>
      </c>
      <c r="AP18" s="49">
        <v>0.2781712962962963</v>
      </c>
      <c r="AQ18" s="49">
        <v>0.2781712962962963</v>
      </c>
      <c r="AR18" s="49">
        <v>0.28034722222222225</v>
      </c>
      <c r="AS18" s="57">
        <v>0.30377314814814815</v>
      </c>
      <c r="AT18" s="57">
        <v>0.30377314814814815</v>
      </c>
      <c r="AU18" s="58">
        <v>0.3058796296296296</v>
      </c>
      <c r="AV18" s="49">
        <v>0.23473379629629632</v>
      </c>
      <c r="AW18" s="43"/>
      <c r="AX18" s="43"/>
      <c r="AY18" s="43"/>
    </row>
    <row r="19" spans="1:51" ht="13.5">
      <c r="A19" s="74" t="s">
        <v>17</v>
      </c>
      <c r="B19" s="21" t="s">
        <v>425</v>
      </c>
      <c r="C19" s="22" t="s">
        <v>502</v>
      </c>
      <c r="D19" s="23" t="s">
        <v>16</v>
      </c>
      <c r="E19" s="23" t="s">
        <v>503</v>
      </c>
      <c r="F19" s="24">
        <f t="shared" si="0"/>
        <v>0.0047106481481482</v>
      </c>
      <c r="G19" s="25">
        <f>(4-COUNT(U19,X19,AA19,AD19))*'штрафы-карточка'!$B$4+(6-COUNT(AE19,AL19,AM19,AP19,AS19,AV19))*'штрафы-карточка'!$B$5+(7-COUNT(W19,Z19,AC19,AG19,AO19,AR19,AU19))*'штрафы-карточка'!$B$3</f>
        <v>360</v>
      </c>
      <c r="H19" s="26">
        <f>VLOOKUP(D19,'штрафы-карточка'!$E$2:$L$300,2,FALSE)</f>
        <v>30</v>
      </c>
      <c r="I19" s="26">
        <f>VLOOKUP(D19,'штрафы-карточка'!$E$2:$L$300,3,FALSE)</f>
        <v>360</v>
      </c>
      <c r="J19" s="26">
        <f>VLOOKUP(D19,'штрафы-карточка'!$E$2:$L$300,4,FALSE)</f>
        <v>0</v>
      </c>
      <c r="K19" s="26">
        <f>VLOOKUP(D19,'штрафы-карточка'!$E$2:$L$300,5,FALSE)</f>
        <v>0</v>
      </c>
      <c r="L19" s="26">
        <f>VLOOKUP(D19,'штрафы-карточка'!$E$2:$L$300,6,FALSE)</f>
        <v>0</v>
      </c>
      <c r="M19" s="26">
        <f>VLOOKUP(D19,'штрафы-карточка'!$E$2:$L$300,7,FALSE)</f>
        <v>0</v>
      </c>
      <c r="N19" s="26">
        <f>VLOOKUP(D19,'штрафы-карточка'!$E$2:$L$300,8,FALSE)</f>
        <v>0</v>
      </c>
      <c r="O19" s="61">
        <f t="shared" si="1"/>
        <v>0.9533912037037037</v>
      </c>
      <c r="P19" s="49">
        <v>0.34730324074074076</v>
      </c>
      <c r="Q19" s="57">
        <v>0.09894675925925926</v>
      </c>
      <c r="R19" s="57"/>
      <c r="S19" s="49">
        <v>0.13806712962962964</v>
      </c>
      <c r="T19" s="49">
        <v>0.17266203703703706</v>
      </c>
      <c r="U19" s="57"/>
      <c r="V19" s="57"/>
      <c r="W19" s="57"/>
      <c r="X19" s="49"/>
      <c r="Y19" s="49"/>
      <c r="Z19" s="49"/>
      <c r="AA19" s="57">
        <v>0.4143171296296296</v>
      </c>
      <c r="AB19" s="57">
        <v>0.41679398148148145</v>
      </c>
      <c r="AC19" s="57">
        <v>0.4182986111111111</v>
      </c>
      <c r="AD19" s="49">
        <v>0.0416666666666667</v>
      </c>
      <c r="AE19" s="57">
        <v>0.21237268518518518</v>
      </c>
      <c r="AF19" s="57">
        <v>0.21383101851851852</v>
      </c>
      <c r="AG19" s="67">
        <v>0.2152777777777778</v>
      </c>
      <c r="AH19" s="49">
        <v>0.045925925925925926</v>
      </c>
      <c r="AI19" s="49">
        <v>0.2764351851851852</v>
      </c>
      <c r="AJ19" s="57">
        <v>0.03783564814814815</v>
      </c>
      <c r="AK19" s="57">
        <v>0.04270833333333333</v>
      </c>
      <c r="AL19" s="49">
        <v>0.02704861111111111</v>
      </c>
      <c r="AM19" s="57">
        <v>0.34215277777777775</v>
      </c>
      <c r="AN19" s="57">
        <v>0.34215277777777775</v>
      </c>
      <c r="AO19" s="57">
        <v>0.3436226851851852</v>
      </c>
      <c r="AP19" s="49">
        <v>0.33421296296296293</v>
      </c>
      <c r="AQ19" s="49">
        <v>0.3349884259259259</v>
      </c>
      <c r="AR19" s="49">
        <v>0.3382060185185185</v>
      </c>
      <c r="AS19" s="57">
        <v>0.354224537037037</v>
      </c>
      <c r="AT19" s="57">
        <v>0.354224537037037</v>
      </c>
      <c r="AU19" s="58">
        <v>0.3576388888888889</v>
      </c>
      <c r="AV19" s="49">
        <v>0.27350694444444446</v>
      </c>
      <c r="AW19" s="43"/>
      <c r="AX19" s="43"/>
      <c r="AY19" s="43"/>
    </row>
    <row r="20" spans="1:51" ht="13.5">
      <c r="A20" s="74" t="s">
        <v>18</v>
      </c>
      <c r="B20" s="21" t="s">
        <v>425</v>
      </c>
      <c r="C20" s="22" t="s">
        <v>478</v>
      </c>
      <c r="D20" s="23" t="s">
        <v>20</v>
      </c>
      <c r="E20" s="23" t="s">
        <v>479</v>
      </c>
      <c r="F20" s="24">
        <f t="shared" si="0"/>
        <v>0.005231481481481559</v>
      </c>
      <c r="G20" s="25">
        <f>(4-COUNT(U20,X20,AA20,AD20))*'штрафы-карточка'!$B$4+(6-COUNT(AE20,AL20,AM20,AP20,AS20,AV20))*'штрафы-карточка'!$B$5+(7-COUNT(W20,Z20,AC20,AG20,AO20,AR20,AU20))*'штрафы-карточка'!$B$3</f>
        <v>150</v>
      </c>
      <c r="H20" s="26">
        <f>VLOOKUP(D20,'штрафы-карточка'!$E$2:$L$300,2,FALSE)</f>
        <v>0</v>
      </c>
      <c r="I20" s="26">
        <f>VLOOKUP(D20,'штрафы-карточка'!$E$2:$L$300,3,FALSE)</f>
        <v>540</v>
      </c>
      <c r="J20" s="26">
        <f>VLOOKUP(D20,'штрафы-карточка'!$E$2:$L$300,4,FALSE)</f>
        <v>0</v>
      </c>
      <c r="K20" s="26">
        <f>VLOOKUP(D20,'штрафы-карточка'!$E$2:$L$300,5,FALSE)</f>
        <v>0</v>
      </c>
      <c r="L20" s="26">
        <f>VLOOKUP(D20,'штрафы-карточка'!$E$2:$L$300,6,FALSE)</f>
        <v>90</v>
      </c>
      <c r="M20" s="26">
        <f>VLOOKUP(D20,'штрафы-карточка'!$E$2:$L$300,7,FALSE)</f>
        <v>0</v>
      </c>
      <c r="N20" s="26">
        <f>VLOOKUP(D20,'штрафы-карточка'!$E$2:$L$300,8,FALSE)</f>
        <v>0</v>
      </c>
      <c r="O20" s="61">
        <f t="shared" si="1"/>
        <v>0.9627893518518518</v>
      </c>
      <c r="P20" s="49">
        <v>0.3025462962962963</v>
      </c>
      <c r="Q20" s="57">
        <v>0.10769675925925926</v>
      </c>
      <c r="R20" s="57"/>
      <c r="S20" s="49">
        <v>0.13552083333333334</v>
      </c>
      <c r="T20" s="49">
        <v>0.16619212962962962</v>
      </c>
      <c r="U20" s="57">
        <v>0.3570138888888889</v>
      </c>
      <c r="V20" s="57">
        <v>0.3570138888888889</v>
      </c>
      <c r="W20" s="57">
        <v>0.35869212962962965</v>
      </c>
      <c r="X20" s="49">
        <v>0.33045138888888886</v>
      </c>
      <c r="Y20" s="49">
        <v>0.3308449074074074</v>
      </c>
      <c r="Z20" s="49">
        <v>0.3325347222222222</v>
      </c>
      <c r="AA20" s="57">
        <v>0.41037037037037033</v>
      </c>
      <c r="AB20" s="57">
        <v>0.41228009259259263</v>
      </c>
      <c r="AC20" s="57">
        <v>0.4129861111111111</v>
      </c>
      <c r="AD20" s="49">
        <v>0.0416666666666667</v>
      </c>
      <c r="AE20" s="57">
        <v>0.19768518518518519</v>
      </c>
      <c r="AF20" s="57">
        <v>0.19768518518518519</v>
      </c>
      <c r="AG20" s="57">
        <v>0.2013425925925926</v>
      </c>
      <c r="AH20" s="49">
        <v>0.04958333333333333</v>
      </c>
      <c r="AI20" s="49">
        <v>0.24390046296296297</v>
      </c>
      <c r="AJ20" s="57">
        <v>0.03925925925925926</v>
      </c>
      <c r="AK20" s="57">
        <v>0.045787037037037036</v>
      </c>
      <c r="AL20" s="49">
        <v>0.03424768518518519</v>
      </c>
      <c r="AM20" s="57">
        <v>0.29789351851851853</v>
      </c>
      <c r="AN20" s="57">
        <v>0.29789351851851853</v>
      </c>
      <c r="AO20" s="57">
        <v>0.29944444444444446</v>
      </c>
      <c r="AP20" s="49">
        <v>0.2891782407407408</v>
      </c>
      <c r="AQ20" s="49">
        <v>0.2921064814814815</v>
      </c>
      <c r="AR20" s="49">
        <v>0.2961574074074074</v>
      </c>
      <c r="AS20" s="57"/>
      <c r="AT20" s="57"/>
      <c r="AU20" s="58"/>
      <c r="AV20" s="49">
        <v>0.2405787037037037</v>
      </c>
      <c r="AW20" s="43"/>
      <c r="AX20" s="43"/>
      <c r="AY20" s="43"/>
    </row>
    <row r="21" spans="1:51" ht="13.5">
      <c r="A21" s="74" t="s">
        <v>19</v>
      </c>
      <c r="B21" s="21" t="s">
        <v>425</v>
      </c>
      <c r="C21" s="22" t="s">
        <v>500</v>
      </c>
      <c r="D21" s="23" t="s">
        <v>10</v>
      </c>
      <c r="E21" s="23" t="s">
        <v>501</v>
      </c>
      <c r="F21" s="24">
        <f t="shared" si="0"/>
        <v>0.0024768518518518134</v>
      </c>
      <c r="G21" s="25">
        <f>(4-COUNT(U21,X21,AA21,AD21))*'штрафы-карточка'!$B$4+(6-COUNT(AE21,AL21,AM21,AP21,AS21,AV21))*'штрафы-карточка'!$B$5+(7-COUNT(W21,Z21,AC21,AG21,AO21,AR21,AU21))*'штрафы-карточка'!$B$3</f>
        <v>330</v>
      </c>
      <c r="H21" s="26">
        <f>VLOOKUP(D21,'штрафы-карточка'!$E$2:$L$300,2,FALSE)</f>
        <v>0</v>
      </c>
      <c r="I21" s="26">
        <f>VLOOKUP(D21,'штрафы-карточка'!$E$2:$L$300,3,FALSE)</f>
        <v>540</v>
      </c>
      <c r="J21" s="26">
        <f>VLOOKUP(D21,'штрафы-карточка'!$E$2:$L$300,4,FALSE)</f>
        <v>0</v>
      </c>
      <c r="K21" s="26">
        <f>VLOOKUP(D21,'штрафы-карточка'!$E$2:$L$300,5,FALSE)</f>
        <v>0</v>
      </c>
      <c r="L21" s="26">
        <f>VLOOKUP(D21,'штрафы-карточка'!$E$2:$L$300,6,FALSE)</f>
        <v>0</v>
      </c>
      <c r="M21" s="26">
        <f>VLOOKUP(D21,'штрафы-карточка'!$E$2:$L$300,7,FALSE)</f>
        <v>0</v>
      </c>
      <c r="N21" s="26">
        <f>VLOOKUP(D21,'штрафы-карточка'!$E$2:$L$300,8,FALSE)</f>
        <v>0</v>
      </c>
      <c r="O21" s="61">
        <f t="shared" si="1"/>
        <v>1.054664351851852</v>
      </c>
      <c r="P21" s="49">
        <v>0.35445601851851855</v>
      </c>
      <c r="Q21" s="57">
        <v>0.11452546296296295</v>
      </c>
      <c r="R21" s="57"/>
      <c r="S21" s="49">
        <v>0.1888078703703704</v>
      </c>
      <c r="T21" s="49">
        <v>0.24108796296296298</v>
      </c>
      <c r="U21" s="57">
        <v>0.407337962962963</v>
      </c>
      <c r="V21" s="57">
        <v>0.40947916666666667</v>
      </c>
      <c r="W21" s="57">
        <v>0.41083333333333333</v>
      </c>
      <c r="X21" s="49">
        <v>0.3771759259259259</v>
      </c>
      <c r="Y21" s="49">
        <v>0.37751157407407404</v>
      </c>
      <c r="Z21" s="49">
        <v>0.3799884259259259</v>
      </c>
      <c r="AA21" s="57"/>
      <c r="AB21" s="57"/>
      <c r="AC21" s="57"/>
      <c r="AD21" s="49">
        <v>0.0416666666666667</v>
      </c>
      <c r="AE21" s="57">
        <v>0.26635416666666667</v>
      </c>
      <c r="AF21" s="57">
        <v>0.26635416666666667</v>
      </c>
      <c r="AG21" s="67">
        <v>0.2673611111111111</v>
      </c>
      <c r="AH21" s="49">
        <v>0.06246527777777777</v>
      </c>
      <c r="AI21" s="49">
        <v>0.3065277777777778</v>
      </c>
      <c r="AJ21" s="57">
        <v>0.03894675925925926</v>
      </c>
      <c r="AK21" s="57">
        <v>0.04642361111111112</v>
      </c>
      <c r="AL21" s="49">
        <v>0.03395833333333333</v>
      </c>
      <c r="AM21" s="57">
        <v>0.3288425925925926</v>
      </c>
      <c r="AN21" s="57">
        <v>0.3288425925925926</v>
      </c>
      <c r="AO21" s="57">
        <v>0.3306134259259259</v>
      </c>
      <c r="AP21" s="49">
        <v>0.3447106481481481</v>
      </c>
      <c r="AQ21" s="49">
        <v>0.3447106481481481</v>
      </c>
      <c r="AR21" s="49">
        <v>0.3476851851851852</v>
      </c>
      <c r="AS21" s="57"/>
      <c r="AT21" s="57"/>
      <c r="AU21" s="58"/>
      <c r="AV21" s="49">
        <v>0.3037037037037037</v>
      </c>
      <c r="AW21" s="43"/>
      <c r="AX21" s="43"/>
      <c r="AY21" s="43"/>
    </row>
    <row r="22" spans="1:51" ht="13.5">
      <c r="A22" s="74" t="s">
        <v>20</v>
      </c>
      <c r="B22" s="21" t="s">
        <v>425</v>
      </c>
      <c r="C22" s="22" t="s">
        <v>486</v>
      </c>
      <c r="D22" s="23" t="s">
        <v>17</v>
      </c>
      <c r="E22" s="23" t="s">
        <v>487</v>
      </c>
      <c r="F22" s="24">
        <f t="shared" si="0"/>
        <v>0</v>
      </c>
      <c r="G22" s="25">
        <f>(4-COUNT(U22,X22,AA22,AD22))*'штрафы-карточка'!$B$4+(6-COUNT(AE22,AL22,AM22,AP22,AS22,AV22))*'штрафы-карточка'!$B$5+(7-COUNT(W22,Z22,AC22,AG22,AO22,AR22,AU22))*'штрафы-карточка'!$B$3</f>
        <v>180</v>
      </c>
      <c r="H22" s="26">
        <f>VLOOKUP(D22,'штрафы-карточка'!$E$2:$L$300,2,FALSE)</f>
        <v>0</v>
      </c>
      <c r="I22" s="26">
        <f>VLOOKUP(D22,'штрафы-карточка'!$E$2:$L$300,3,FALSE)</f>
        <v>900</v>
      </c>
      <c r="J22" s="26">
        <f>VLOOKUP(D22,'штрафы-карточка'!$E$2:$L$300,4,FALSE)</f>
        <v>0</v>
      </c>
      <c r="K22" s="26">
        <f>VLOOKUP(D22,'штрафы-карточка'!$E$2:$L$300,5,FALSE)</f>
        <v>0</v>
      </c>
      <c r="L22" s="26">
        <f>VLOOKUP(D22,'штрафы-карточка'!$E$2:$L$300,6,FALSE)</f>
        <v>60</v>
      </c>
      <c r="M22" s="26">
        <f>VLOOKUP(D22,'штрафы-карточка'!$E$2:$L$300,7,FALSE)</f>
        <v>0</v>
      </c>
      <c r="N22" s="26">
        <f>VLOOKUP(D22,'штрафы-карточка'!$E$2:$L$300,8,FALSE)</f>
        <v>0</v>
      </c>
      <c r="O22" s="61">
        <f t="shared" si="1"/>
        <v>1.2425694444444446</v>
      </c>
      <c r="P22" s="49">
        <v>0.3772800925925926</v>
      </c>
      <c r="Q22" s="57">
        <v>0.14038194444444443</v>
      </c>
      <c r="R22" s="57"/>
      <c r="S22" s="49">
        <v>0.17628472222222222</v>
      </c>
      <c r="T22" s="49">
        <v>0.22568287037037038</v>
      </c>
      <c r="U22" s="57">
        <v>0.4221759259259259</v>
      </c>
      <c r="V22" s="57">
        <v>0.4221759259259259</v>
      </c>
      <c r="W22" s="57">
        <v>0.42490740740740746</v>
      </c>
      <c r="X22" s="49">
        <v>0.40914351851851855</v>
      </c>
      <c r="Y22" s="49">
        <v>0.40914351851851855</v>
      </c>
      <c r="Z22" s="49">
        <v>0.4117476851851852</v>
      </c>
      <c r="AA22" s="57"/>
      <c r="AB22" s="57"/>
      <c r="AC22" s="57"/>
      <c r="AD22" s="49">
        <v>0.0416666666666667</v>
      </c>
      <c r="AE22" s="57">
        <v>0.27229166666666665</v>
      </c>
      <c r="AF22" s="57">
        <v>0.27229166666666665</v>
      </c>
      <c r="AG22" s="57">
        <v>0.2793287037037037</v>
      </c>
      <c r="AH22" s="49">
        <v>0.07324074074074073</v>
      </c>
      <c r="AI22" s="49">
        <v>0.31930555555555556</v>
      </c>
      <c r="AJ22" s="57">
        <v>0.05700231481481482</v>
      </c>
      <c r="AK22" s="57">
        <v>0.06834490740740741</v>
      </c>
      <c r="AL22" s="49">
        <v>0.029120370370370366</v>
      </c>
      <c r="AM22" s="57">
        <v>0.37070601851851853</v>
      </c>
      <c r="AN22" s="57">
        <v>0.37070601851851853</v>
      </c>
      <c r="AO22" s="57">
        <v>0.37256944444444445</v>
      </c>
      <c r="AP22" s="49">
        <v>0.3646643518518518</v>
      </c>
      <c r="AQ22" s="49">
        <v>0.3646643518518518</v>
      </c>
      <c r="AR22" s="49">
        <v>0.3674074074074074</v>
      </c>
      <c r="AS22" s="57">
        <v>0.38767361111111115</v>
      </c>
      <c r="AT22" s="57">
        <v>0.38767361111111115</v>
      </c>
      <c r="AU22" s="58">
        <v>0.39238425925925924</v>
      </c>
      <c r="AV22" s="49">
        <v>0.07810185185185185</v>
      </c>
      <c r="AW22" s="43"/>
      <c r="AX22" s="43"/>
      <c r="AY22" s="43"/>
    </row>
    <row r="23" spans="1:51" ht="13.5">
      <c r="A23" s="74" t="s">
        <v>21</v>
      </c>
      <c r="B23" s="21" t="s">
        <v>425</v>
      </c>
      <c r="C23" s="22" t="s">
        <v>490</v>
      </c>
      <c r="D23" s="23" t="s">
        <v>22</v>
      </c>
      <c r="E23" s="23" t="s">
        <v>491</v>
      </c>
      <c r="F23" s="24">
        <f t="shared" si="0"/>
        <v>0.00910879629629632</v>
      </c>
      <c r="G23" s="25">
        <f>(4-COUNT(U23,X23,AA23,AD23))*'штрафы-карточка'!$B$4+(6-COUNT(AE23,AL23,AM23,AP23,AS23,AV23))*'штрафы-карточка'!$B$5+(7-COUNT(W23,Z23,AC23,AG23,AO23,AR23,AU23))*'штрафы-карточка'!$B$3</f>
        <v>330</v>
      </c>
      <c r="H23" s="26">
        <f>VLOOKUP(D23,'штрафы-карточка'!$E$2:$L$300,2,FALSE)</f>
        <v>0</v>
      </c>
      <c r="I23" s="26">
        <f>VLOOKUP(D23,'штрафы-карточка'!$E$2:$L$300,3,FALSE)</f>
        <v>660</v>
      </c>
      <c r="J23" s="26">
        <f>VLOOKUP(D23,'штрафы-карточка'!$E$2:$L$300,4,FALSE)</f>
        <v>0</v>
      </c>
      <c r="K23" s="26">
        <f>VLOOKUP(D23,'штрафы-карточка'!$E$2:$L$300,5,FALSE)</f>
        <v>180</v>
      </c>
      <c r="L23" s="26">
        <f>VLOOKUP(D23,'штрафы-карточка'!$E$2:$L$300,6,FALSE)</f>
        <v>0</v>
      </c>
      <c r="M23" s="26">
        <f>VLOOKUP(D23,'штрафы-карточка'!$E$2:$L$300,7,FALSE)</f>
        <v>0</v>
      </c>
      <c r="N23" s="26">
        <f>VLOOKUP(D23,'штрафы-карточка'!$E$2:$L$300,8,FALSE)</f>
        <v>0</v>
      </c>
      <c r="O23" s="61">
        <f t="shared" si="1"/>
        <v>1.2560300925925925</v>
      </c>
      <c r="P23" s="49">
        <v>0.36921296296296297</v>
      </c>
      <c r="Q23" s="57">
        <v>0.16571759259259258</v>
      </c>
      <c r="R23" s="57"/>
      <c r="S23" s="49">
        <v>0.21141203703703704</v>
      </c>
      <c r="T23" s="49">
        <v>0.24914351851851854</v>
      </c>
      <c r="U23" s="57">
        <v>0.4238425925925926</v>
      </c>
      <c r="V23" s="57">
        <v>0.4262268518518519</v>
      </c>
      <c r="W23" s="57">
        <v>0.4274189814814815</v>
      </c>
      <c r="X23" s="49">
        <v>0.39623842592592595</v>
      </c>
      <c r="Y23" s="49">
        <v>0.39623842592592595</v>
      </c>
      <c r="Z23" s="49">
        <v>0.3981365740740741</v>
      </c>
      <c r="AA23" s="57"/>
      <c r="AB23" s="57"/>
      <c r="AC23" s="57"/>
      <c r="AD23" s="49">
        <v>0.0416666666666667</v>
      </c>
      <c r="AE23" s="57">
        <v>0.2979861111111111</v>
      </c>
      <c r="AF23" s="57">
        <v>0.2979861111111111</v>
      </c>
      <c r="AG23" s="57">
        <v>0.30236111111111114</v>
      </c>
      <c r="AH23" s="49">
        <v>0.10980324074074073</v>
      </c>
      <c r="AI23" s="49">
        <v>0.3483796296296296</v>
      </c>
      <c r="AJ23" s="57">
        <v>0.0759375</v>
      </c>
      <c r="AK23" s="57">
        <v>0.08645833333333335</v>
      </c>
      <c r="AL23" s="49">
        <v>0.07038194444444444</v>
      </c>
      <c r="AM23" s="57">
        <v>0.003912037037037037</v>
      </c>
      <c r="AN23" s="57">
        <v>0.008368055555555556</v>
      </c>
      <c r="AO23" s="57">
        <v>0.009328703703703704</v>
      </c>
      <c r="AP23" s="49">
        <v>0.02071759259259259</v>
      </c>
      <c r="AQ23" s="49">
        <v>0.02298611111111111</v>
      </c>
      <c r="AR23" s="49">
        <v>0.03185185185185185</v>
      </c>
      <c r="AS23" s="57"/>
      <c r="AT23" s="57"/>
      <c r="AU23" s="58"/>
      <c r="AV23" s="49">
        <v>0.3458564814814815</v>
      </c>
      <c r="AW23" s="43"/>
      <c r="AX23" s="43"/>
      <c r="AY23" s="43"/>
    </row>
    <row r="24" spans="1:51" ht="13.5">
      <c r="A24" s="74" t="s">
        <v>22</v>
      </c>
      <c r="B24" s="21" t="s">
        <v>425</v>
      </c>
      <c r="C24" s="22" t="s">
        <v>492</v>
      </c>
      <c r="D24" s="23" t="s">
        <v>28</v>
      </c>
      <c r="E24" s="23" t="s">
        <v>493</v>
      </c>
      <c r="F24" s="24">
        <f t="shared" si="0"/>
        <v>0.00023148148148149916</v>
      </c>
      <c r="G24" s="25">
        <f>(4-COUNT(U24,X24,AA24,AD24))*'штрафы-карточка'!$B$4+(6-COUNT(AE24,AL24,AM24,AP24,AS24,AV24))*'штрафы-карточка'!$B$5+(7-COUNT(W24,Z24,AC24,AG24,AO24,AR24,AU24))*'штрафы-карточка'!$B$3</f>
        <v>360</v>
      </c>
      <c r="H24" s="26">
        <f>VLOOKUP(D24,'штрафы-карточка'!$E$2:$L$300,2,FALSE)</f>
        <v>0</v>
      </c>
      <c r="I24" s="26">
        <f>VLOOKUP(D24,'штрафы-карточка'!$E$2:$L$300,3,FALSE)</f>
        <v>420</v>
      </c>
      <c r="J24" s="26">
        <f>VLOOKUP(D24,'штрафы-карточка'!$E$2:$L$300,4,FALSE)</f>
        <v>0</v>
      </c>
      <c r="K24" s="26">
        <f>VLOOKUP(D24,'штрафы-карточка'!$E$2:$L$300,5,FALSE)</f>
        <v>360</v>
      </c>
      <c r="L24" s="26">
        <f>VLOOKUP(D24,'штрафы-карточка'!$E$2:$L$300,6,FALSE)</f>
        <v>0</v>
      </c>
      <c r="M24" s="26">
        <f>VLOOKUP(D24,'штрафы-карточка'!$E$2:$L$300,7,FALSE)</f>
        <v>150</v>
      </c>
      <c r="N24" s="26">
        <f>VLOOKUP(D24,'штрафы-карточка'!$E$2:$L$300,8,FALSE)</f>
        <v>0</v>
      </c>
      <c r="O24" s="61">
        <f t="shared" si="1"/>
        <v>1.3365856481481482</v>
      </c>
      <c r="P24" s="49">
        <v>0.3075</v>
      </c>
      <c r="Q24" s="57">
        <v>0.0822800925925926</v>
      </c>
      <c r="R24" s="57"/>
      <c r="S24" s="49"/>
      <c r="T24" s="49"/>
      <c r="U24" s="57"/>
      <c r="V24" s="57"/>
      <c r="W24" s="57"/>
      <c r="X24" s="49"/>
      <c r="Y24" s="49"/>
      <c r="Z24" s="49"/>
      <c r="AA24" s="57">
        <v>0.41356481481481483</v>
      </c>
      <c r="AB24" s="57">
        <v>0.41356481481481483</v>
      </c>
      <c r="AC24" s="57">
        <v>0.41574074074074074</v>
      </c>
      <c r="AD24" s="49">
        <v>0.0416666666666667</v>
      </c>
      <c r="AE24" s="57">
        <v>0.16817129629629632</v>
      </c>
      <c r="AF24" s="57">
        <v>0.16817129629629632</v>
      </c>
      <c r="AG24" s="57">
        <v>0.1716087962962963</v>
      </c>
      <c r="AH24" s="49">
        <v>0.02798611111111111</v>
      </c>
      <c r="AI24" s="49">
        <v>0.20440972222222223</v>
      </c>
      <c r="AJ24" s="57"/>
      <c r="AK24" s="57"/>
      <c r="AL24" s="49">
        <v>0.24112268518518518</v>
      </c>
      <c r="AM24" s="57">
        <v>0.2769097222222222</v>
      </c>
      <c r="AN24" s="57">
        <v>0.2771412037037037</v>
      </c>
      <c r="AO24" s="57">
        <v>0.28023148148148147</v>
      </c>
      <c r="AP24" s="49">
        <v>0.29900462962962965</v>
      </c>
      <c r="AQ24" s="49">
        <v>0.29900462962962965</v>
      </c>
      <c r="AR24" s="49">
        <v>0.3033101851851852</v>
      </c>
      <c r="AS24" s="57">
        <v>0.31644675925925925</v>
      </c>
      <c r="AT24" s="57">
        <v>0.31644675925925925</v>
      </c>
      <c r="AU24" s="58">
        <v>0.3217361111111111</v>
      </c>
      <c r="AV24" s="49">
        <v>0.20127314814814815</v>
      </c>
      <c r="AW24" s="43"/>
      <c r="AX24" s="46">
        <v>0.2827662037037037</v>
      </c>
      <c r="AY24" s="43"/>
    </row>
    <row r="25" spans="1:51" ht="13.5">
      <c r="A25" s="70" t="s">
        <v>1</v>
      </c>
      <c r="B25" s="21" t="s">
        <v>275</v>
      </c>
      <c r="C25" s="22" t="s">
        <v>434</v>
      </c>
      <c r="D25" s="23" t="s">
        <v>34</v>
      </c>
      <c r="E25" s="23" t="s">
        <v>435</v>
      </c>
      <c r="F25" s="24">
        <f t="shared" si="0"/>
        <v>0.005011574074074043</v>
      </c>
      <c r="G25" s="25">
        <f>(4-COUNT(U25,X25,AA25,AD25))*'штрафы-карточка'!$B$4+(6-COUNT(AE25,AL25,AM25,AP25,AS25,AV25))*'штрафы-карточка'!$B$5+(7-COUNT(W25,Z25,AC25,AG25,AO25,AR25,AU25))*'штрафы-карточка'!$B$3</f>
        <v>0</v>
      </c>
      <c r="H25" s="26">
        <f>VLOOKUP(D25,'штрафы-карточка'!$E$2:$L$300,2,FALSE)</f>
        <v>30</v>
      </c>
      <c r="I25" s="26">
        <f>VLOOKUP(D25,'штрафы-карточка'!$E$2:$L$300,3,FALSE)</f>
        <v>0</v>
      </c>
      <c r="J25" s="26">
        <f>VLOOKUP(D25,'штрафы-карточка'!$E$2:$L$300,4,FALSE)</f>
        <v>0</v>
      </c>
      <c r="K25" s="26">
        <f>VLOOKUP(D25,'штрафы-карточка'!$E$2:$L$300,5,FALSE)</f>
        <v>0</v>
      </c>
      <c r="L25" s="26">
        <f>VLOOKUP(D25,'штрафы-карточка'!$E$2:$L$300,6,FALSE)</f>
        <v>0</v>
      </c>
      <c r="M25" s="26">
        <f>VLOOKUP(D25,'штрафы-карточка'!$E$2:$L$300,7,FALSE)</f>
        <v>0</v>
      </c>
      <c r="N25" s="26">
        <f>VLOOKUP(D25,'штрафы-карточка'!$E$2:$L$300,8,FALSE)</f>
        <v>0</v>
      </c>
      <c r="O25" s="61">
        <f t="shared" si="1"/>
        <v>0.35703703703703704</v>
      </c>
      <c r="P25" s="49">
        <v>0.22525462962962964</v>
      </c>
      <c r="Q25" s="57">
        <v>0.07622685185185185</v>
      </c>
      <c r="R25" s="57"/>
      <c r="S25" s="49">
        <v>0.10561342592592593</v>
      </c>
      <c r="T25" s="49">
        <v>0.13149305555555554</v>
      </c>
      <c r="U25" s="57">
        <v>0.31643518518518515</v>
      </c>
      <c r="V25" s="57">
        <v>0.31643518518518515</v>
      </c>
      <c r="W25" s="57">
        <v>0.31854166666666667</v>
      </c>
      <c r="X25" s="49">
        <v>0.29965277777777777</v>
      </c>
      <c r="Y25" s="49">
        <v>0.3017592592592592</v>
      </c>
      <c r="Z25" s="49">
        <v>0.30314814814814817</v>
      </c>
      <c r="AA25" s="57">
        <v>0.27600694444444446</v>
      </c>
      <c r="AB25" s="57">
        <v>0.27891203703703704</v>
      </c>
      <c r="AC25" s="57">
        <v>0.28023148148148147</v>
      </c>
      <c r="AD25" s="49">
        <v>0.0416666666666667</v>
      </c>
      <c r="AE25" s="57">
        <v>0.1583101851851852</v>
      </c>
      <c r="AF25" s="57">
        <v>0.1583101851851852</v>
      </c>
      <c r="AG25" s="57">
        <v>0.16118055555555555</v>
      </c>
      <c r="AH25" s="49">
        <v>0.037986111111111116</v>
      </c>
      <c r="AI25" s="49">
        <v>0.18949074074074077</v>
      </c>
      <c r="AJ25" s="57">
        <v>0.021666666666666667</v>
      </c>
      <c r="AK25" s="57">
        <v>0.02701388888888889</v>
      </c>
      <c r="AL25" s="49">
        <v>0.019016203703703705</v>
      </c>
      <c r="AM25" s="57">
        <v>0.2208564814814815</v>
      </c>
      <c r="AN25" s="57">
        <v>0.2208564814814815</v>
      </c>
      <c r="AO25" s="57">
        <v>0.22224537037037037</v>
      </c>
      <c r="AP25" s="49">
        <v>0.2161574074074074</v>
      </c>
      <c r="AQ25" s="49">
        <v>0.2161574074074074</v>
      </c>
      <c r="AR25" s="49">
        <v>0.21935185185185183</v>
      </c>
      <c r="AS25" s="57">
        <v>0.23280092592592594</v>
      </c>
      <c r="AT25" s="57">
        <v>0.23280092592592594</v>
      </c>
      <c r="AU25" s="58">
        <v>0.23417824074074076</v>
      </c>
      <c r="AV25" s="49">
        <v>0.18736111111111112</v>
      </c>
      <c r="AW25" s="43"/>
      <c r="AX25" s="43"/>
      <c r="AY25" s="43"/>
    </row>
    <row r="26" spans="1:51" ht="13.5">
      <c r="A26" s="70" t="s">
        <v>2</v>
      </c>
      <c r="B26" s="21" t="s">
        <v>275</v>
      </c>
      <c r="C26" s="22" t="s">
        <v>446</v>
      </c>
      <c r="D26" s="23" t="s">
        <v>37</v>
      </c>
      <c r="E26" s="23" t="s">
        <v>447</v>
      </c>
      <c r="F26" s="24">
        <f t="shared" si="0"/>
        <v>0.0035069444444444375</v>
      </c>
      <c r="G26" s="25">
        <f>(4-COUNT(U26,X26,AA26,AD26))*'штрафы-карточка'!$B$4+(6-COUNT(AE26,AL26,AM26,AP26,AS26,AV26))*'штрафы-карточка'!$B$5+(7-COUNT(W26,Z26,AC26,AG26,AO26,AR26,AU26))*'штрафы-карточка'!$B$3</f>
        <v>0</v>
      </c>
      <c r="H26" s="26">
        <f>VLOOKUP(D26,'штрафы-карточка'!$E$2:$L$300,2,FALSE)</f>
        <v>0</v>
      </c>
      <c r="I26" s="26">
        <f>VLOOKUP(D26,'штрафы-карточка'!$E$2:$L$300,3,FALSE)</f>
        <v>0</v>
      </c>
      <c r="J26" s="26">
        <f>VLOOKUP(D26,'штрафы-карточка'!$E$2:$L$300,4,FALSE)</f>
        <v>0</v>
      </c>
      <c r="K26" s="26">
        <f>VLOOKUP(D26,'штрафы-карточка'!$E$2:$L$300,5,FALSE)</f>
        <v>0</v>
      </c>
      <c r="L26" s="26">
        <f>VLOOKUP(D26,'штрафы-карточка'!$E$2:$L$300,6,FALSE)</f>
        <v>0</v>
      </c>
      <c r="M26" s="26">
        <f>VLOOKUP(D26,'штрафы-карточка'!$E$2:$L$300,7,FALSE)</f>
        <v>0</v>
      </c>
      <c r="N26" s="26">
        <f>VLOOKUP(D26,'штрафы-карточка'!$E$2:$L$300,8,FALSE)</f>
        <v>0</v>
      </c>
      <c r="O26" s="61">
        <f t="shared" si="1"/>
        <v>0.3706828703703704</v>
      </c>
      <c r="P26" s="49">
        <v>0.24844907407407404</v>
      </c>
      <c r="Q26" s="57">
        <v>0.09049768518518518</v>
      </c>
      <c r="R26" s="57"/>
      <c r="S26" s="49">
        <v>0.11452546296296295</v>
      </c>
      <c r="T26" s="49">
        <v>0.13971064814814815</v>
      </c>
      <c r="U26" s="57">
        <v>0.3472106481481481</v>
      </c>
      <c r="V26" s="57">
        <v>0.34831018518518514</v>
      </c>
      <c r="W26" s="57">
        <v>0.349699074074074</v>
      </c>
      <c r="X26" s="49">
        <v>0.3221412037037037</v>
      </c>
      <c r="Y26" s="49">
        <v>0.3224074074074074</v>
      </c>
      <c r="Z26" s="49">
        <v>0.3249074074074074</v>
      </c>
      <c r="AA26" s="57">
        <v>0.3104513888888889</v>
      </c>
      <c r="AB26" s="57">
        <v>0.3104513888888889</v>
      </c>
      <c r="AC26" s="57">
        <v>0.31158564814814815</v>
      </c>
      <c r="AD26" s="49">
        <v>0.0416666666666667</v>
      </c>
      <c r="AE26" s="57">
        <v>0.17211805555555557</v>
      </c>
      <c r="AF26" s="57">
        <v>0.17211805555555557</v>
      </c>
      <c r="AG26" s="57">
        <v>0.1746296296296296</v>
      </c>
      <c r="AH26" s="49">
        <v>0.04181712962962963</v>
      </c>
      <c r="AI26" s="49">
        <v>0.21504629629629632</v>
      </c>
      <c r="AJ26" s="57">
        <v>0.021782407407407407</v>
      </c>
      <c r="AK26" s="57">
        <v>0.028344907407407412</v>
      </c>
      <c r="AL26" s="49">
        <v>0.01875</v>
      </c>
      <c r="AM26" s="57">
        <v>0.2408449074074074</v>
      </c>
      <c r="AN26" s="57">
        <v>0.24298611111111112</v>
      </c>
      <c r="AO26" s="57">
        <v>0.24453703703703702</v>
      </c>
      <c r="AP26" s="49">
        <v>0.23628472222222222</v>
      </c>
      <c r="AQ26" s="49">
        <v>0.23628472222222222</v>
      </c>
      <c r="AR26" s="49">
        <v>0.23898148148148146</v>
      </c>
      <c r="AS26" s="57">
        <v>0.25591435185185185</v>
      </c>
      <c r="AT26" s="57">
        <v>0.25591435185185185</v>
      </c>
      <c r="AU26" s="58">
        <v>0.25773148148148145</v>
      </c>
      <c r="AV26" s="49">
        <v>0.21251157407407406</v>
      </c>
      <c r="AW26" s="43"/>
      <c r="AX26" s="43"/>
      <c r="AY26" s="43"/>
    </row>
    <row r="27" spans="1:51" ht="13.5">
      <c r="A27" s="70" t="s">
        <v>3</v>
      </c>
      <c r="B27" s="21" t="s">
        <v>275</v>
      </c>
      <c r="C27" s="22" t="s">
        <v>452</v>
      </c>
      <c r="D27" s="23" t="s">
        <v>42</v>
      </c>
      <c r="E27" s="23" t="s">
        <v>453</v>
      </c>
      <c r="F27" s="24">
        <f t="shared" si="0"/>
        <v>0.010671296296296262</v>
      </c>
      <c r="G27" s="25">
        <f>(4-COUNT(U27,X27,AA27,AD27))*'штрафы-карточка'!$B$4+(6-COUNT(AE27,AL27,AM27,AP27,AS27,AV27))*'штрафы-карточка'!$B$5+(7-COUNT(W27,Z27,AC27,AG27,AO27,AR27,AU27))*'штрафы-карточка'!$B$3</f>
        <v>0</v>
      </c>
      <c r="H27" s="26">
        <f>VLOOKUP(D27,'штрафы-карточка'!$E$2:$L$300,2,FALSE)</f>
        <v>0</v>
      </c>
      <c r="I27" s="26">
        <f>VLOOKUP(D27,'штрафы-карточка'!$E$2:$L$300,3,FALSE)</f>
        <v>0</v>
      </c>
      <c r="J27" s="26">
        <f>VLOOKUP(D27,'штрафы-карточка'!$E$2:$L$300,4,FALSE)</f>
        <v>0</v>
      </c>
      <c r="K27" s="26">
        <f>VLOOKUP(D27,'штрафы-карточка'!$E$2:$L$300,5,FALSE)</f>
        <v>0</v>
      </c>
      <c r="L27" s="26">
        <f>VLOOKUP(D27,'штрафы-карточка'!$E$2:$L$300,6,FALSE)</f>
        <v>0</v>
      </c>
      <c r="M27" s="26">
        <f>VLOOKUP(D27,'штрафы-карточка'!$E$2:$L$300,7,FALSE)</f>
        <v>0</v>
      </c>
      <c r="N27" s="26">
        <f>VLOOKUP(D27,'штрафы-карточка'!$E$2:$L$300,8,FALSE)</f>
        <v>0</v>
      </c>
      <c r="O27" s="61">
        <f t="shared" si="1"/>
        <v>0.39560185185185187</v>
      </c>
      <c r="P27" s="49">
        <v>0.28215277777777775</v>
      </c>
      <c r="Q27" s="57">
        <v>0.09173611111111112</v>
      </c>
      <c r="R27" s="57"/>
      <c r="S27" s="49">
        <v>0.13299768518518518</v>
      </c>
      <c r="T27" s="49">
        <v>0.16407407407407407</v>
      </c>
      <c r="U27" s="57">
        <v>0.3217013888888889</v>
      </c>
      <c r="V27" s="57">
        <v>0.32202546296296297</v>
      </c>
      <c r="W27" s="57">
        <v>0.3235300925925926</v>
      </c>
      <c r="X27" s="49">
        <v>0.3028472222222222</v>
      </c>
      <c r="Y27" s="49">
        <v>0.30346064814814816</v>
      </c>
      <c r="Z27" s="49">
        <v>0.30614583333333334</v>
      </c>
      <c r="AA27" s="57">
        <v>0.35574074074074075</v>
      </c>
      <c r="AB27" s="57">
        <v>0.3621759259259259</v>
      </c>
      <c r="AC27" s="57">
        <v>0.3632754629629629</v>
      </c>
      <c r="AD27" s="49">
        <v>0.0416666666666667</v>
      </c>
      <c r="AE27" s="57">
        <v>0.20078703703703704</v>
      </c>
      <c r="AF27" s="57">
        <v>0.20078703703703704</v>
      </c>
      <c r="AG27" s="57">
        <v>0.20396990740740742</v>
      </c>
      <c r="AH27" s="49">
        <v>0.05070601851851852</v>
      </c>
      <c r="AI27" s="49">
        <v>0.23938657407407407</v>
      </c>
      <c r="AJ27" s="57">
        <v>0.03424768518518519</v>
      </c>
      <c r="AK27" s="57">
        <v>0.04164351851851852</v>
      </c>
      <c r="AL27" s="49">
        <v>0.029849537037037036</v>
      </c>
      <c r="AM27" s="57">
        <v>0.2767939814814815</v>
      </c>
      <c r="AN27" s="57">
        <v>0.2767939814814815</v>
      </c>
      <c r="AO27" s="57">
        <v>0.27804398148148146</v>
      </c>
      <c r="AP27" s="49">
        <v>0.26917824074074076</v>
      </c>
      <c r="AQ27" s="49">
        <v>0.2710185185185185</v>
      </c>
      <c r="AR27" s="49">
        <v>0.2748611111111111</v>
      </c>
      <c r="AS27" s="57">
        <v>0.2855787037037037</v>
      </c>
      <c r="AT27" s="57">
        <v>0.28703703703703703</v>
      </c>
      <c r="AU27" s="58">
        <v>0.28890046296296296</v>
      </c>
      <c r="AV27" s="49">
        <v>0.2360648148148148</v>
      </c>
      <c r="AW27" s="43"/>
      <c r="AX27" s="43"/>
      <c r="AY27" s="43"/>
    </row>
    <row r="28" spans="1:51" ht="13.5">
      <c r="A28" s="23" t="s">
        <v>4</v>
      </c>
      <c r="B28" s="21" t="s">
        <v>275</v>
      </c>
      <c r="C28" s="22" t="s">
        <v>474</v>
      </c>
      <c r="D28" s="23" t="s">
        <v>45</v>
      </c>
      <c r="E28" s="23" t="s">
        <v>475</v>
      </c>
      <c r="F28" s="24">
        <f t="shared" si="0"/>
        <v>0.0038425925925925086</v>
      </c>
      <c r="G28" s="25">
        <f>(4-COUNT(U28,X28,AA28,AD28))*'штрафы-карточка'!$B$4+(6-COUNT(AE28,AL28,AM28,AP28,AS28,AV28))*'штрафы-карточка'!$B$5+(7-COUNT(W28,Z28,AC28,AG28,AO28,AR28,AU28))*'штрафы-карточка'!$B$3</f>
        <v>0</v>
      </c>
      <c r="H28" s="26">
        <f>VLOOKUP(D28,'штрафы-карточка'!$E$2:$L$300,2,FALSE)</f>
        <v>0</v>
      </c>
      <c r="I28" s="26">
        <f>VLOOKUP(D28,'штрафы-карточка'!$E$2:$L$300,3,FALSE)</f>
        <v>0</v>
      </c>
      <c r="J28" s="26">
        <f>VLOOKUP(D28,'штрафы-карточка'!$E$2:$L$300,4,FALSE)</f>
        <v>0</v>
      </c>
      <c r="K28" s="26">
        <f>VLOOKUP(D28,'штрафы-карточка'!$E$2:$L$300,5,FALSE)</f>
        <v>0</v>
      </c>
      <c r="L28" s="26">
        <f>VLOOKUP(D28,'штрафы-карточка'!$E$2:$L$300,6,FALSE)</f>
        <v>0</v>
      </c>
      <c r="M28" s="26">
        <f>VLOOKUP(D28,'штрафы-карточка'!$E$2:$L$300,7,FALSE)</f>
        <v>0</v>
      </c>
      <c r="N28" s="26">
        <f>VLOOKUP(D28,'штрафы-карточка'!$E$2:$L$300,8,FALSE)</f>
        <v>0</v>
      </c>
      <c r="O28" s="61">
        <f t="shared" si="1"/>
        <v>0.45127314814814823</v>
      </c>
      <c r="P28" s="49">
        <v>0.30081018518518515</v>
      </c>
      <c r="Q28" s="57">
        <v>0.10221064814814813</v>
      </c>
      <c r="R28" s="57"/>
      <c r="S28" s="49">
        <v>0.13077546296296297</v>
      </c>
      <c r="T28" s="49">
        <v>0.17265046296296296</v>
      </c>
      <c r="U28" s="57">
        <v>0.35194444444444445</v>
      </c>
      <c r="V28" s="57">
        <v>0.35322916666666665</v>
      </c>
      <c r="W28" s="57">
        <v>0.35554398148148153</v>
      </c>
      <c r="X28" s="49">
        <v>0.3267013888888889</v>
      </c>
      <c r="Y28" s="49">
        <v>0.3277893518518518</v>
      </c>
      <c r="Z28" s="49">
        <v>0.3304050925925926</v>
      </c>
      <c r="AA28" s="57">
        <v>0.4003240740740741</v>
      </c>
      <c r="AB28" s="57">
        <v>0.4003240740740741</v>
      </c>
      <c r="AC28" s="57">
        <v>0.40125</v>
      </c>
      <c r="AD28" s="49">
        <v>0.0416666666666667</v>
      </c>
      <c r="AE28" s="57">
        <v>0.20996527777777776</v>
      </c>
      <c r="AF28" s="57">
        <v>0.20996527777777776</v>
      </c>
      <c r="AG28" s="57">
        <v>0.21462962962962961</v>
      </c>
      <c r="AH28" s="49">
        <v>0.05399305555555556</v>
      </c>
      <c r="AI28" s="49"/>
      <c r="AJ28" s="57">
        <v>0.03469907407407408</v>
      </c>
      <c r="AK28" s="57">
        <v>0.04395833333333333</v>
      </c>
      <c r="AL28" s="49">
        <v>0.02953703703703704</v>
      </c>
      <c r="AM28" s="57">
        <v>0.2952546296296296</v>
      </c>
      <c r="AN28" s="57">
        <v>0.2952546296296296</v>
      </c>
      <c r="AO28" s="57">
        <v>0.2970833333333333</v>
      </c>
      <c r="AP28" s="49">
        <v>0.2865625</v>
      </c>
      <c r="AQ28" s="49">
        <v>0.2880324074074074</v>
      </c>
      <c r="AR28" s="49">
        <v>0.29333333333333333</v>
      </c>
      <c r="AS28" s="57">
        <v>0.30972222222222223</v>
      </c>
      <c r="AT28" s="57">
        <v>0.30972222222222223</v>
      </c>
      <c r="AU28" s="58">
        <v>0.31472222222222224</v>
      </c>
      <c r="AV28" s="49">
        <v>0.2437152777777778</v>
      </c>
      <c r="AW28" s="43"/>
      <c r="AX28" s="43"/>
      <c r="AY28" s="43"/>
    </row>
    <row r="29" spans="1:51" ht="13.5">
      <c r="A29" s="23" t="s">
        <v>5</v>
      </c>
      <c r="B29" s="21" t="s">
        <v>275</v>
      </c>
      <c r="C29" s="22" t="s">
        <v>472</v>
      </c>
      <c r="D29" s="23" t="s">
        <v>43</v>
      </c>
      <c r="E29" s="23" t="s">
        <v>473</v>
      </c>
      <c r="F29" s="24">
        <f t="shared" si="0"/>
        <v>0.0064814814814815325</v>
      </c>
      <c r="G29" s="25">
        <f>(4-COUNT(U29,X29,AA29,AD29))*'штрафы-карточка'!$B$4+(6-COUNT(AE29,AL29,AM29,AP29,AS29,AV29))*'штрафы-карточка'!$B$5+(7-COUNT(W29,Z29,AC29,AG29,AO29,AR29,AU29))*'штрафы-карточка'!$B$3</f>
        <v>0</v>
      </c>
      <c r="H29" s="26">
        <f>VLOOKUP(D29,'штрафы-карточка'!$E$2:$L$300,2,FALSE)</f>
        <v>0</v>
      </c>
      <c r="I29" s="26">
        <f>VLOOKUP(D29,'штрафы-карточка'!$E$2:$L$300,3,FALSE)</f>
        <v>60</v>
      </c>
      <c r="J29" s="26">
        <f>VLOOKUP(D29,'штрафы-карточка'!$E$2:$L$300,4,FALSE)</f>
        <v>0</v>
      </c>
      <c r="K29" s="26">
        <f>VLOOKUP(D29,'штрафы-карточка'!$E$2:$L$300,5,FALSE)</f>
        <v>0</v>
      </c>
      <c r="L29" s="26">
        <f>VLOOKUP(D29,'штрафы-карточка'!$E$2:$L$300,6,FALSE)</f>
        <v>0</v>
      </c>
      <c r="M29" s="26">
        <f>VLOOKUP(D29,'штрафы-карточка'!$E$2:$L$300,7,FALSE)</f>
        <v>0</v>
      </c>
      <c r="N29" s="26">
        <f>VLOOKUP(D29,'штрафы-карточка'!$E$2:$L$300,8,FALSE)</f>
        <v>0</v>
      </c>
      <c r="O29" s="61">
        <f t="shared" si="1"/>
        <v>0.49155092592592586</v>
      </c>
      <c r="P29" s="49">
        <v>0.3233449074074074</v>
      </c>
      <c r="Q29" s="57">
        <v>0.11160879629629629</v>
      </c>
      <c r="R29" s="57"/>
      <c r="S29" s="49">
        <v>0.13745370370370372</v>
      </c>
      <c r="T29" s="49">
        <v>0.17862268518518518</v>
      </c>
      <c r="U29" s="57">
        <v>0.4276273148148148</v>
      </c>
      <c r="V29" s="57">
        <v>0.4276273148148148</v>
      </c>
      <c r="W29" s="57">
        <v>0.4302662037037037</v>
      </c>
      <c r="X29" s="49">
        <v>0.41054398148148147</v>
      </c>
      <c r="Y29" s="49">
        <v>0.41054398148148147</v>
      </c>
      <c r="Z29" s="49">
        <v>0.4142013888888889</v>
      </c>
      <c r="AA29" s="57">
        <v>0.3951736111111111</v>
      </c>
      <c r="AB29" s="57">
        <v>0.3951736111111111</v>
      </c>
      <c r="AC29" s="57">
        <v>0.39622685185185186</v>
      </c>
      <c r="AD29" s="49">
        <v>0.0416666666666667</v>
      </c>
      <c r="AE29" s="57">
        <v>0.23327546296296298</v>
      </c>
      <c r="AF29" s="57">
        <v>0.23327546296296298</v>
      </c>
      <c r="AG29" s="57">
        <v>0.2370601851851852</v>
      </c>
      <c r="AH29" s="49">
        <v>0.049837962962962966</v>
      </c>
      <c r="AI29" s="49">
        <v>0.2753125</v>
      </c>
      <c r="AJ29" s="57">
        <v>0.034722222222222224</v>
      </c>
      <c r="AK29" s="57">
        <v>0.04131944444444444</v>
      </c>
      <c r="AL29" s="49">
        <v>0.029699074074074072</v>
      </c>
      <c r="AM29" s="57">
        <v>0.00337962962962963</v>
      </c>
      <c r="AN29" s="57">
        <v>0.006076388888888889</v>
      </c>
      <c r="AO29" s="57">
        <v>0.007604166666666666</v>
      </c>
      <c r="AP29" s="49">
        <v>0.3104398148148148</v>
      </c>
      <c r="AQ29" s="49">
        <v>0.31258101851851855</v>
      </c>
      <c r="AR29" s="49">
        <v>0.3187847222222222</v>
      </c>
      <c r="AS29" s="57">
        <v>0.33078703703703705</v>
      </c>
      <c r="AT29" s="57">
        <v>0.33243055555555556</v>
      </c>
      <c r="AU29" s="58">
        <v>0.3380439814814815</v>
      </c>
      <c r="AV29" s="49">
        <v>0.2724421296296296</v>
      </c>
      <c r="AW29" s="43"/>
      <c r="AX29" s="43"/>
      <c r="AY29" s="46">
        <v>0.33368055555555554</v>
      </c>
    </row>
    <row r="30" spans="1:51" ht="13.5">
      <c r="A30" s="23" t="s">
        <v>6</v>
      </c>
      <c r="B30" s="21" t="s">
        <v>275</v>
      </c>
      <c r="C30" s="22" t="s">
        <v>454</v>
      </c>
      <c r="D30" s="23" t="s">
        <v>38</v>
      </c>
      <c r="E30" s="23" t="s">
        <v>455</v>
      </c>
      <c r="F30" s="24">
        <f t="shared" si="0"/>
        <v>0.015162037037036946</v>
      </c>
      <c r="G30" s="25">
        <f>(4-COUNT(U30,X30,AA30,AD30))*'штрафы-карточка'!$B$4+(6-COUNT(AE30,AL30,AM30,AP30,AS30,AV30))*'штрафы-карточка'!$B$5+(7-COUNT(W30,Z30,AC30,AG30,AO30,AR30,AU30))*'штрафы-карточка'!$B$3</f>
        <v>0</v>
      </c>
      <c r="H30" s="26">
        <f>VLOOKUP(D30,'штрафы-карточка'!$E$2:$L$300,2,FALSE)</f>
        <v>0</v>
      </c>
      <c r="I30" s="26">
        <f>VLOOKUP(D30,'штрафы-карточка'!$E$2:$L$300,3,FALSE)</f>
        <v>0</v>
      </c>
      <c r="J30" s="26">
        <f>VLOOKUP(D30,'штрафы-карточка'!$E$2:$L$300,4,FALSE)</f>
        <v>0</v>
      </c>
      <c r="K30" s="26">
        <f>VLOOKUP(D30,'штрафы-карточка'!$E$2:$L$300,5,FALSE)</f>
        <v>0</v>
      </c>
      <c r="L30" s="26">
        <f>VLOOKUP(D30,'штрафы-карточка'!$E$2:$L$300,6,FALSE)</f>
        <v>0</v>
      </c>
      <c r="M30" s="26">
        <f>VLOOKUP(D30,'штрафы-карточка'!$E$2:$L$300,7,FALSE)</f>
        <v>150</v>
      </c>
      <c r="N30" s="26">
        <f>VLOOKUP(D30,'штрафы-карточка'!$E$2:$L$300,8,FALSE)</f>
        <v>0</v>
      </c>
      <c r="O30" s="61">
        <f t="shared" si="1"/>
        <v>0.5058796296296297</v>
      </c>
      <c r="P30" s="49">
        <v>0.26395833333333335</v>
      </c>
      <c r="Q30" s="57">
        <v>0.09157407407407407</v>
      </c>
      <c r="R30" s="57"/>
      <c r="S30" s="49">
        <v>0.12302083333333334</v>
      </c>
      <c r="T30" s="49">
        <v>0.14998842592592593</v>
      </c>
      <c r="U30" s="57">
        <v>0.3820717592592593</v>
      </c>
      <c r="V30" s="57">
        <v>0.3873263888888889</v>
      </c>
      <c r="W30" s="57">
        <v>0.3890625</v>
      </c>
      <c r="X30" s="49">
        <v>0.35689814814814813</v>
      </c>
      <c r="Y30" s="49">
        <v>0.36105324074074074</v>
      </c>
      <c r="Z30" s="49">
        <v>0.36302083333333335</v>
      </c>
      <c r="AA30" s="57">
        <v>0.3392013888888889</v>
      </c>
      <c r="AB30" s="57">
        <v>0.34193287037037035</v>
      </c>
      <c r="AC30" s="57">
        <v>0.34276620370370375</v>
      </c>
      <c r="AD30" s="49">
        <v>0.0416666666666667</v>
      </c>
      <c r="AE30" s="57">
        <v>0.17832175925925928</v>
      </c>
      <c r="AF30" s="57">
        <v>0.18134259259259258</v>
      </c>
      <c r="AG30" s="57">
        <v>0.18447916666666667</v>
      </c>
      <c r="AH30" s="49">
        <v>0.042743055555555555</v>
      </c>
      <c r="AI30" s="49">
        <v>0.22105324074074073</v>
      </c>
      <c r="AJ30" s="57"/>
      <c r="AK30" s="57"/>
      <c r="AL30" s="49">
        <v>0.025543981481481483</v>
      </c>
      <c r="AM30" s="57">
        <v>0.2574074074074074</v>
      </c>
      <c r="AN30" s="57">
        <v>0.2574074074074074</v>
      </c>
      <c r="AO30" s="57">
        <v>0.26005787037037037</v>
      </c>
      <c r="AP30" s="49">
        <v>0.25074074074074076</v>
      </c>
      <c r="AQ30" s="49">
        <v>0.25074074074074076</v>
      </c>
      <c r="AR30" s="49">
        <v>0.2548842592592592</v>
      </c>
      <c r="AS30" s="57">
        <v>0.2775</v>
      </c>
      <c r="AT30" s="57">
        <v>0.2775</v>
      </c>
      <c r="AU30" s="58">
        <v>0.2820023148148148</v>
      </c>
      <c r="AV30" s="49">
        <v>0.21813657407407408</v>
      </c>
      <c r="AW30" s="43"/>
      <c r="AX30" s="43"/>
      <c r="AY30" s="43"/>
    </row>
    <row r="31" spans="1:51" ht="13.5">
      <c r="A31" s="23" t="s">
        <v>7</v>
      </c>
      <c r="B31" s="21" t="s">
        <v>275</v>
      </c>
      <c r="C31" s="22" t="s">
        <v>464</v>
      </c>
      <c r="D31" s="23" t="s">
        <v>40</v>
      </c>
      <c r="E31" s="23" t="s">
        <v>465</v>
      </c>
      <c r="F31" s="24">
        <f t="shared" si="0"/>
        <v>0.019328703703703765</v>
      </c>
      <c r="G31" s="25">
        <f>(4-COUNT(U31,X31,AA31,AD31))*'штрафы-карточка'!$B$4+(6-COUNT(AE31,AL31,AM31,AP31,AS31,AV31))*'штрафы-карточка'!$B$5+(7-COUNT(W31,Z31,AC31,AG31,AO31,AR31,AU31))*'штрафы-карточка'!$B$3</f>
        <v>0</v>
      </c>
      <c r="H31" s="26">
        <f>VLOOKUP(D31,'штрафы-карточка'!$E$2:$L$300,2,FALSE)</f>
        <v>30</v>
      </c>
      <c r="I31" s="26">
        <f>VLOOKUP(D31,'штрафы-карточка'!$E$2:$L$300,3,FALSE)</f>
        <v>540</v>
      </c>
      <c r="J31" s="26">
        <f>VLOOKUP(D31,'штрафы-карточка'!$E$2:$L$300,4,FALSE)</f>
        <v>0</v>
      </c>
      <c r="K31" s="26">
        <f>VLOOKUP(D31,'штрафы-карточка'!$E$2:$L$300,5,FALSE)</f>
        <v>0</v>
      </c>
      <c r="L31" s="26">
        <f>VLOOKUP(D31,'штрафы-карточка'!$E$2:$L$300,6,FALSE)</f>
        <v>0</v>
      </c>
      <c r="M31" s="26">
        <f>VLOOKUP(D31,'штрафы-карточка'!$E$2:$L$300,7,FALSE)</f>
        <v>0</v>
      </c>
      <c r="N31" s="26">
        <f>VLOOKUP(D31,'штрафы-карточка'!$E$2:$L$300,8,FALSE)</f>
        <v>0</v>
      </c>
      <c r="O31" s="61">
        <f t="shared" si="1"/>
        <v>0.8291898148148147</v>
      </c>
      <c r="P31" s="49">
        <v>0.3335763888888889</v>
      </c>
      <c r="Q31" s="57">
        <v>0.10164351851851851</v>
      </c>
      <c r="R31" s="57"/>
      <c r="S31" s="49">
        <v>0.1283564814814815</v>
      </c>
      <c r="T31" s="49">
        <v>0.18204861111111112</v>
      </c>
      <c r="U31" s="57">
        <v>0.3856365740740741</v>
      </c>
      <c r="V31" s="57">
        <v>0.38885416666666667</v>
      </c>
      <c r="W31" s="57">
        <v>0.3907175925925926</v>
      </c>
      <c r="X31" s="49">
        <v>0.36063657407407407</v>
      </c>
      <c r="Y31" s="49">
        <v>0.3608912037037037</v>
      </c>
      <c r="Z31" s="49">
        <v>0.36366898148148147</v>
      </c>
      <c r="AA31" s="57">
        <v>0.4268518518518518</v>
      </c>
      <c r="AB31" s="57">
        <v>0.43061342592592594</v>
      </c>
      <c r="AC31" s="57">
        <v>0.43172453703703706</v>
      </c>
      <c r="AD31" s="49">
        <v>0.0416666666666667</v>
      </c>
      <c r="AE31" s="57">
        <v>0.23320601851851852</v>
      </c>
      <c r="AF31" s="57">
        <v>0.23623842592592592</v>
      </c>
      <c r="AG31" s="57">
        <v>0.23770833333333333</v>
      </c>
      <c r="AH31" s="49">
        <v>0.05310185185185185</v>
      </c>
      <c r="AI31" s="49">
        <v>0.27608796296296295</v>
      </c>
      <c r="AJ31" s="57">
        <v>0.03238425925925926</v>
      </c>
      <c r="AK31" s="57">
        <v>0.03813657407407407</v>
      </c>
      <c r="AL31" s="49">
        <v>0.028182870370370372</v>
      </c>
      <c r="AM31" s="57">
        <v>0.32545138888888886</v>
      </c>
      <c r="AN31" s="57">
        <v>0.3280902777777778</v>
      </c>
      <c r="AO31" s="57">
        <v>0.32947916666666666</v>
      </c>
      <c r="AP31" s="49">
        <v>0.31159722222222225</v>
      </c>
      <c r="AQ31" s="49">
        <v>0.31802083333333336</v>
      </c>
      <c r="AR31" s="49">
        <v>0.32304398148148145</v>
      </c>
      <c r="AS31" s="57">
        <v>0.33896990740740746</v>
      </c>
      <c r="AT31" s="57">
        <v>0.33896990740740746</v>
      </c>
      <c r="AU31" s="58">
        <v>0.34501157407407407</v>
      </c>
      <c r="AV31" s="49">
        <v>0.27284722222222224</v>
      </c>
      <c r="AW31" s="43"/>
      <c r="AX31" s="43"/>
      <c r="AY31" s="43"/>
    </row>
    <row r="32" spans="1:51" ht="13.5">
      <c r="A32" s="23" t="s">
        <v>8</v>
      </c>
      <c r="B32" s="21" t="s">
        <v>275</v>
      </c>
      <c r="C32" s="22" t="s">
        <v>476</v>
      </c>
      <c r="D32" s="23" t="s">
        <v>35</v>
      </c>
      <c r="E32" s="23" t="s">
        <v>477</v>
      </c>
      <c r="F32" s="24">
        <f t="shared" si="0"/>
        <v>0.001087962962962985</v>
      </c>
      <c r="G32" s="25">
        <f>(4-COUNT(U32,X32,AA32,AD32))*'штрафы-карточка'!$B$4+(6-COUNT(AE32,AL32,AM32,AP32,AS32,AV32))*'штрафы-карточка'!$B$5+(7-COUNT(W32,Z32,AC32,AG32,AO32,AR32,AU32))*'штрафы-карточка'!$B$3</f>
        <v>0</v>
      </c>
      <c r="H32" s="26">
        <f>VLOOKUP(D32,'штрафы-карточка'!$E$2:$L$300,2,FALSE)</f>
        <v>0</v>
      </c>
      <c r="I32" s="26">
        <f>VLOOKUP(D32,'штрафы-карточка'!$E$2:$L$300,3,FALSE)</f>
        <v>180</v>
      </c>
      <c r="J32" s="26">
        <f>VLOOKUP(D32,'штрафы-карточка'!$E$2:$L$300,4,FALSE)</f>
        <v>0</v>
      </c>
      <c r="K32" s="26">
        <f>VLOOKUP(D32,'штрафы-карточка'!$E$2:$L$300,5,FALSE)</f>
        <v>360</v>
      </c>
      <c r="L32" s="26">
        <f>VLOOKUP(D32,'штрафы-карточка'!$E$2:$L$300,6,FALSE)</f>
        <v>0</v>
      </c>
      <c r="M32" s="26">
        <f>VLOOKUP(D32,'штрафы-карточка'!$E$2:$L$300,7,FALSE)</f>
        <v>0</v>
      </c>
      <c r="N32" s="26">
        <f>VLOOKUP(D32,'штрафы-карточка'!$E$2:$L$300,8,FALSE)</f>
        <v>0</v>
      </c>
      <c r="O32" s="61">
        <f t="shared" si="1"/>
        <v>0.8303703703703704</v>
      </c>
      <c r="P32" s="49">
        <v>0.2856597222222222</v>
      </c>
      <c r="Q32" s="57">
        <v>0.07019675925925926</v>
      </c>
      <c r="R32" s="57"/>
      <c r="S32" s="49"/>
      <c r="T32" s="49"/>
      <c r="U32" s="57">
        <v>0.3506018518518519</v>
      </c>
      <c r="V32" s="57">
        <v>0.3506018518518519</v>
      </c>
      <c r="W32" s="57">
        <v>0.3529513888888889</v>
      </c>
      <c r="X32" s="49">
        <v>0.32362268518518517</v>
      </c>
      <c r="Y32" s="49">
        <v>0.32471064814814815</v>
      </c>
      <c r="Z32" s="49">
        <v>0.3266435185185185</v>
      </c>
      <c r="AA32" s="57">
        <v>0.41024305555555557</v>
      </c>
      <c r="AB32" s="57">
        <v>0.41024305555555557</v>
      </c>
      <c r="AC32" s="57">
        <v>0.4115162037037037</v>
      </c>
      <c r="AD32" s="49">
        <v>0.0416666666666667</v>
      </c>
      <c r="AE32" s="57">
        <v>0.14532407407407408</v>
      </c>
      <c r="AF32" s="57">
        <v>0.14532407407407408</v>
      </c>
      <c r="AG32" s="57">
        <v>0.14758101851851851</v>
      </c>
      <c r="AH32" s="49">
        <v>0.018854166666666665</v>
      </c>
      <c r="AI32" s="49">
        <v>0.1959375</v>
      </c>
      <c r="AJ32" s="57">
        <v>0.2121990740740741</v>
      </c>
      <c r="AK32" s="57">
        <v>0.21960648148148146</v>
      </c>
      <c r="AL32" s="49">
        <v>0.22520833333333334</v>
      </c>
      <c r="AM32" s="57">
        <v>0.25828703703703704</v>
      </c>
      <c r="AN32" s="57">
        <v>0.25828703703703704</v>
      </c>
      <c r="AO32" s="57">
        <v>0.26032407407407404</v>
      </c>
      <c r="AP32" s="49">
        <v>0.27395833333333336</v>
      </c>
      <c r="AQ32" s="49">
        <v>0.27395833333333336</v>
      </c>
      <c r="AR32" s="49">
        <v>0.27922453703703703</v>
      </c>
      <c r="AS32" s="57">
        <v>0.29766203703703703</v>
      </c>
      <c r="AT32" s="57">
        <v>0.29766203703703703</v>
      </c>
      <c r="AU32" s="58">
        <v>0.30400462962962965</v>
      </c>
      <c r="AV32" s="49">
        <v>0.19319444444444445</v>
      </c>
      <c r="AW32" s="43"/>
      <c r="AX32" s="43"/>
      <c r="AY32" s="43"/>
    </row>
    <row r="33" spans="1:51" ht="13.5">
      <c r="A33" s="23" t="s">
        <v>9</v>
      </c>
      <c r="B33" s="21" t="s">
        <v>275</v>
      </c>
      <c r="C33" s="22" t="s">
        <v>482</v>
      </c>
      <c r="D33" s="23" t="s">
        <v>31</v>
      </c>
      <c r="E33" s="23" t="s">
        <v>483</v>
      </c>
      <c r="F33" s="24">
        <f t="shared" si="0"/>
        <v>0.005891203703703718</v>
      </c>
      <c r="G33" s="25">
        <f>(4-COUNT(U33,X33,AA33,AD33))*'штрафы-карточка'!$B$4+(6-COUNT(AE33,AL33,AM33,AP33,AS33,AV33))*'штрафы-карточка'!$B$5+(7-COUNT(W33,Z33,AC33,AG33,AO33,AR33,AU33))*'штрафы-карточка'!$B$3</f>
        <v>150</v>
      </c>
      <c r="H33" s="26">
        <f>VLOOKUP(D33,'штрафы-карточка'!$E$2:$L$300,2,FALSE)</f>
        <v>0</v>
      </c>
      <c r="I33" s="26">
        <f>VLOOKUP(D33,'штрафы-карточка'!$E$2:$L$300,3,FALSE)</f>
        <v>480</v>
      </c>
      <c r="J33" s="26">
        <f>VLOOKUP(D33,'штрафы-карточка'!$E$2:$L$300,4,FALSE)</f>
        <v>0</v>
      </c>
      <c r="K33" s="26">
        <f>VLOOKUP(D33,'штрафы-карточка'!$E$2:$L$300,5,FALSE)</f>
        <v>0</v>
      </c>
      <c r="L33" s="26">
        <f>VLOOKUP(D33,'штрафы-карточка'!$E$2:$L$300,6,FALSE)</f>
        <v>0</v>
      </c>
      <c r="M33" s="26">
        <f>VLOOKUP(D33,'штрафы-карточка'!$E$2:$L$300,7,FALSE)</f>
        <v>0</v>
      </c>
      <c r="N33" s="26">
        <f>VLOOKUP(D33,'штрафы-карточка'!$E$2:$L$300,8,FALSE)</f>
        <v>0</v>
      </c>
      <c r="O33" s="61">
        <f t="shared" si="1"/>
        <v>0.8875925925925925</v>
      </c>
      <c r="P33" s="49">
        <v>0.3315856481481481</v>
      </c>
      <c r="Q33" s="57">
        <v>0.1671527777777778</v>
      </c>
      <c r="R33" s="57"/>
      <c r="S33" s="49">
        <v>0.2215046296296296</v>
      </c>
      <c r="T33" s="49">
        <v>0.25409722222222225</v>
      </c>
      <c r="U33" s="57">
        <v>0.3819444444444444</v>
      </c>
      <c r="V33" s="57">
        <v>0.38528935185185187</v>
      </c>
      <c r="W33" s="57">
        <v>0.3875231481481482</v>
      </c>
      <c r="X33" s="49">
        <v>0.35375</v>
      </c>
      <c r="Y33" s="49">
        <v>0.35375</v>
      </c>
      <c r="Z33" s="49">
        <v>0.3620833333333333</v>
      </c>
      <c r="AA33" s="57">
        <v>0.4351041666666667</v>
      </c>
      <c r="AB33" s="57">
        <v>0.4351041666666667</v>
      </c>
      <c r="AC33" s="57">
        <v>0.43637731481481484</v>
      </c>
      <c r="AD33" s="49">
        <v>0.0416666666666667</v>
      </c>
      <c r="AE33" s="57">
        <v>0.2750578703703704</v>
      </c>
      <c r="AF33" s="57">
        <v>0.27760416666666665</v>
      </c>
      <c r="AG33" s="57">
        <v>0.27953703703703703</v>
      </c>
      <c r="AH33" s="49">
        <v>0.0976851851851852</v>
      </c>
      <c r="AI33" s="49">
        <v>0.31939814814814815</v>
      </c>
      <c r="AJ33" s="57">
        <v>0.02517361111111111</v>
      </c>
      <c r="AK33" s="57">
        <v>0.0290625</v>
      </c>
      <c r="AL33" s="49">
        <v>0.03409722222222222</v>
      </c>
      <c r="AM33" s="57">
        <v>0.06259259259259259</v>
      </c>
      <c r="AN33" s="57">
        <v>0.06259259259259259</v>
      </c>
      <c r="AO33" s="57">
        <v>0.06460648148148147</v>
      </c>
      <c r="AP33" s="49">
        <v>0.06952546296296297</v>
      </c>
      <c r="AQ33" s="49">
        <v>0.06952546296296297</v>
      </c>
      <c r="AR33" s="49">
        <v>0.08666666666666667</v>
      </c>
      <c r="AS33" s="57"/>
      <c r="AT33" s="57"/>
      <c r="AU33" s="58"/>
      <c r="AV33" s="49">
        <v>0.3151851851851852</v>
      </c>
      <c r="AW33" s="43"/>
      <c r="AX33" s="45"/>
      <c r="AY33" s="43"/>
    </row>
    <row r="34" spans="1:51" ht="13.5">
      <c r="A34" s="23" t="s">
        <v>10</v>
      </c>
      <c r="B34" s="21" t="s">
        <v>275</v>
      </c>
      <c r="C34" s="22" t="s">
        <v>496</v>
      </c>
      <c r="D34" s="23" t="s">
        <v>30</v>
      </c>
      <c r="E34" s="23" t="s">
        <v>497</v>
      </c>
      <c r="F34" s="24">
        <f t="shared" si="0"/>
        <v>0</v>
      </c>
      <c r="G34" s="25">
        <f>(4-COUNT(U34,X34,AA34,AD34))*'штрафы-карточка'!$B$4+(6-COUNT(AE34,AL34,AM34,AP34,AS34,AV34))*'штрафы-карточка'!$B$5+(7-COUNT(W34,Z34,AC34,AG34,AO34,AR34,AU34))*'штрафы-карточка'!$B$3</f>
        <v>360</v>
      </c>
      <c r="H34" s="26">
        <f>VLOOKUP(D34,'штрафы-карточка'!$E$2:$L$300,2,FALSE)</f>
        <v>0</v>
      </c>
      <c r="I34" s="26">
        <f>VLOOKUP(D34,'штрафы-карточка'!$E$2:$L$300,3,FALSE)</f>
        <v>300</v>
      </c>
      <c r="J34" s="26">
        <f>VLOOKUP(D34,'штрафы-карточка'!$E$2:$L$300,4,FALSE)</f>
        <v>0</v>
      </c>
      <c r="K34" s="26">
        <f>VLOOKUP(D34,'штрафы-карточка'!$E$2:$L$300,5,FALSE)</f>
        <v>0</v>
      </c>
      <c r="L34" s="26">
        <f>VLOOKUP(D34,'штрафы-карточка'!$E$2:$L$300,6,FALSE)</f>
        <v>0</v>
      </c>
      <c r="M34" s="26">
        <f>VLOOKUP(D34,'штрафы-карточка'!$E$2:$L$300,7,FALSE)</f>
        <v>0</v>
      </c>
      <c r="N34" s="26">
        <f>VLOOKUP(D34,'штрафы-карточка'!$E$2:$L$300,8,FALSE)</f>
        <v>0</v>
      </c>
      <c r="O34" s="61">
        <f t="shared" si="1"/>
        <v>0.9144675925925926</v>
      </c>
      <c r="P34" s="49">
        <v>0.2963310185185185</v>
      </c>
      <c r="Q34" s="57">
        <v>0.08400462962962962</v>
      </c>
      <c r="R34" s="57"/>
      <c r="S34" s="49">
        <v>0.130625</v>
      </c>
      <c r="T34" s="49">
        <v>0.16541666666666668</v>
      </c>
      <c r="U34" s="57"/>
      <c r="V34" s="57"/>
      <c r="W34" s="57"/>
      <c r="X34" s="49"/>
      <c r="Y34" s="49"/>
      <c r="Z34" s="49"/>
      <c r="AA34" s="57">
        <v>0.42429398148148145</v>
      </c>
      <c r="AB34" s="57">
        <v>0.42429398148148145</v>
      </c>
      <c r="AC34" s="57">
        <v>0.4258101851851852</v>
      </c>
      <c r="AD34" s="49">
        <v>0.0416666666666667</v>
      </c>
      <c r="AE34" s="57">
        <v>0.2043287037037037</v>
      </c>
      <c r="AF34" s="57">
        <v>0.2043287037037037</v>
      </c>
      <c r="AG34" s="57">
        <v>0.20916666666666664</v>
      </c>
      <c r="AH34" s="49">
        <v>0.04739583333333333</v>
      </c>
      <c r="AI34" s="49">
        <v>0.2452777777777778</v>
      </c>
      <c r="AJ34" s="57">
        <v>0.02476851851851852</v>
      </c>
      <c r="AK34" s="57">
        <v>0.03140046296296296</v>
      </c>
      <c r="AL34" s="49">
        <v>0.038113425925925926</v>
      </c>
      <c r="AM34" s="57">
        <v>0.2875810185185185</v>
      </c>
      <c r="AN34" s="57">
        <v>0.2875810185185185</v>
      </c>
      <c r="AO34" s="57">
        <v>0.29034722222222226</v>
      </c>
      <c r="AP34" s="49">
        <v>0.27997685185185184</v>
      </c>
      <c r="AQ34" s="49">
        <v>0.27997685185185184</v>
      </c>
      <c r="AR34" s="49">
        <v>0.2853935185185185</v>
      </c>
      <c r="AS34" s="57">
        <v>0.35866898148148146</v>
      </c>
      <c r="AT34" s="57">
        <v>0.35866898148148146</v>
      </c>
      <c r="AU34" s="58">
        <v>0.3658564814814815</v>
      </c>
      <c r="AV34" s="49">
        <v>0.24299768518518516</v>
      </c>
      <c r="AW34" s="43"/>
      <c r="AX34" s="45"/>
      <c r="AY34" s="43"/>
    </row>
    <row r="35" spans="1:51" ht="13.5">
      <c r="A35" s="23" t="s">
        <v>11</v>
      </c>
      <c r="B35" s="21" t="s">
        <v>275</v>
      </c>
      <c r="C35" s="22" t="s">
        <v>488</v>
      </c>
      <c r="D35" s="23" t="s">
        <v>36</v>
      </c>
      <c r="E35" s="23" t="s">
        <v>489</v>
      </c>
      <c r="F35" s="24">
        <f t="shared" si="0"/>
        <v>0.00042824074074071516</v>
      </c>
      <c r="G35" s="25">
        <f>(4-COUNT(U35,X35,AA35,AD35))*'штрафы-карточка'!$B$4+(6-COUNT(AE35,AL35,AM35,AP35,AS35,AV35))*'штрафы-карточка'!$B$5+(7-COUNT(W35,Z35,AC35,AG35,AO35,AR35,AU35))*'штрафы-карточка'!$B$3</f>
        <v>180</v>
      </c>
      <c r="H35" s="26">
        <f>VLOOKUP(D35,'штрафы-карточка'!$E$2:$L$300,2,FALSE)</f>
        <v>0</v>
      </c>
      <c r="I35" s="26">
        <f>VLOOKUP(D35,'штрафы-карточка'!$E$2:$L$300,3,FALSE)</f>
        <v>480</v>
      </c>
      <c r="J35" s="26">
        <f>VLOOKUP(D35,'штрафы-карточка'!$E$2:$L$300,4,FALSE)</f>
        <v>0</v>
      </c>
      <c r="K35" s="26">
        <f>VLOOKUP(D35,'штрафы-карточка'!$E$2:$L$300,5,FALSE)</f>
        <v>0</v>
      </c>
      <c r="L35" s="26">
        <f>VLOOKUP(D35,'штрафы-карточка'!$E$2:$L$300,6,FALSE)</f>
        <v>0</v>
      </c>
      <c r="M35" s="26">
        <f>VLOOKUP(D35,'штрафы-карточка'!$E$2:$L$300,7,FALSE)</f>
        <v>0</v>
      </c>
      <c r="N35" s="26">
        <f>VLOOKUP(D35,'штрафы-карточка'!$E$2:$L$300,8,FALSE)</f>
        <v>0</v>
      </c>
      <c r="O35" s="61">
        <f t="shared" si="1"/>
        <v>0.9180902777777777</v>
      </c>
      <c r="P35" s="49">
        <v>0.35258101851851853</v>
      </c>
      <c r="Q35" s="57">
        <v>0.11219907407407408</v>
      </c>
      <c r="R35" s="57"/>
      <c r="S35" s="49">
        <v>0.15730324074074073</v>
      </c>
      <c r="T35" s="49">
        <v>0.21587962962962962</v>
      </c>
      <c r="U35" s="57">
        <v>0.4071990740740741</v>
      </c>
      <c r="V35" s="57">
        <v>0.4071990740740741</v>
      </c>
      <c r="W35" s="57">
        <v>0.40953703703703703</v>
      </c>
      <c r="X35" s="49">
        <v>0.3847800925925926</v>
      </c>
      <c r="Y35" s="49">
        <v>0.3852083333333333</v>
      </c>
      <c r="Z35" s="49">
        <v>0.3867361111111111</v>
      </c>
      <c r="AA35" s="57"/>
      <c r="AB35" s="57"/>
      <c r="AC35" s="57"/>
      <c r="AD35" s="49">
        <v>0.0416666666666667</v>
      </c>
      <c r="AE35" s="57">
        <v>0.25283564814814813</v>
      </c>
      <c r="AF35" s="57">
        <v>0.25283564814814813</v>
      </c>
      <c r="AG35" s="57">
        <v>0.26234953703703706</v>
      </c>
      <c r="AH35" s="49">
        <v>0.05384259259259259</v>
      </c>
      <c r="AI35" s="49">
        <v>0.29381944444444447</v>
      </c>
      <c r="AJ35" s="57">
        <v>0.03446759259259259</v>
      </c>
      <c r="AK35" s="57">
        <v>0.0431712962962963</v>
      </c>
      <c r="AL35" s="49">
        <v>0.029930555555555557</v>
      </c>
      <c r="AM35" s="57">
        <v>0.34733796296296293</v>
      </c>
      <c r="AN35" s="57">
        <v>0.34733796296296293</v>
      </c>
      <c r="AO35" s="57">
        <v>0.3484143518518519</v>
      </c>
      <c r="AP35" s="49">
        <v>0.34230324074074076</v>
      </c>
      <c r="AQ35" s="49">
        <v>0.34230324074074076</v>
      </c>
      <c r="AR35" s="49">
        <v>0.34512731481481485</v>
      </c>
      <c r="AS35" s="57">
        <v>0.3660069444444444</v>
      </c>
      <c r="AT35" s="57">
        <v>0.3660069444444444</v>
      </c>
      <c r="AU35" s="58">
        <v>0.3686805555555555</v>
      </c>
      <c r="AV35" s="49">
        <v>0.29153935185185187</v>
      </c>
      <c r="AW35" s="43"/>
      <c r="AX35" s="43"/>
      <c r="AY35" s="45"/>
    </row>
    <row r="36" spans="1:51" ht="13.5">
      <c r="A36" s="23" t="s">
        <v>12</v>
      </c>
      <c r="B36" s="21" t="s">
        <v>275</v>
      </c>
      <c r="C36" s="22" t="s">
        <v>494</v>
      </c>
      <c r="D36" s="23" t="s">
        <v>39</v>
      </c>
      <c r="E36" s="23" t="s">
        <v>495</v>
      </c>
      <c r="F36" s="24">
        <f t="shared" si="0"/>
        <v>0.006412037037036966</v>
      </c>
      <c r="G36" s="25">
        <f>(4-COUNT(U36,X36,AA36,AD36))*'штрафы-карточка'!$B$4+(6-COUNT(AE36,AL36,AM36,AP36,AS36,AV36))*'штрафы-карточка'!$B$5+(7-COUNT(W36,Z36,AC36,AG36,AO36,AR36,AU36))*'штрафы-карточка'!$B$3</f>
        <v>360</v>
      </c>
      <c r="H36" s="26">
        <f>VLOOKUP(D36,'штрафы-карточка'!$E$2:$L$300,2,FALSE)</f>
        <v>0</v>
      </c>
      <c r="I36" s="26">
        <f>VLOOKUP(D36,'штрафы-карточка'!$E$2:$L$300,3,FALSE)</f>
        <v>360</v>
      </c>
      <c r="J36" s="26">
        <f>VLOOKUP(D36,'штрафы-карточка'!$E$2:$L$300,4,FALSE)</f>
        <v>0</v>
      </c>
      <c r="K36" s="26">
        <f>VLOOKUP(D36,'штрафы-карточка'!$E$2:$L$300,5,FALSE)</f>
        <v>0</v>
      </c>
      <c r="L36" s="26">
        <f>VLOOKUP(D36,'штрафы-карточка'!$E$2:$L$300,6,FALSE)</f>
        <v>0</v>
      </c>
      <c r="M36" s="26">
        <f>VLOOKUP(D36,'штрафы-карточка'!$E$2:$L$300,7,FALSE)</f>
        <v>0</v>
      </c>
      <c r="N36" s="26">
        <f>VLOOKUP(D36,'штрафы-карточка'!$E$2:$L$300,8,FALSE)</f>
        <v>0</v>
      </c>
      <c r="O36" s="61">
        <f t="shared" si="1"/>
        <v>0.9411226851851853</v>
      </c>
      <c r="P36" s="49">
        <v>0.3410300925925926</v>
      </c>
      <c r="Q36" s="57">
        <v>0.10043981481481483</v>
      </c>
      <c r="R36" s="57"/>
      <c r="S36" s="49">
        <v>0.14868055555555557</v>
      </c>
      <c r="T36" s="49">
        <v>0.1832638888888889</v>
      </c>
      <c r="U36" s="57"/>
      <c r="V36" s="57"/>
      <c r="W36" s="57"/>
      <c r="X36" s="49"/>
      <c r="Y36" s="49"/>
      <c r="Z36" s="49"/>
      <c r="AA36" s="57">
        <v>0.40575231481481483</v>
      </c>
      <c r="AB36" s="57">
        <v>0.40575231481481483</v>
      </c>
      <c r="AC36" s="57">
        <v>0.40715277777777775</v>
      </c>
      <c r="AD36" s="49">
        <v>0.0416666666666667</v>
      </c>
      <c r="AE36" s="57">
        <v>0.2386689814814815</v>
      </c>
      <c r="AF36" s="57">
        <v>0.2386689814814815</v>
      </c>
      <c r="AG36" s="57">
        <v>0.24138888888888888</v>
      </c>
      <c r="AH36" s="49">
        <v>0.05862268518518519</v>
      </c>
      <c r="AI36" s="49">
        <v>0.29019675925925925</v>
      </c>
      <c r="AJ36" s="57">
        <v>0.04403935185185185</v>
      </c>
      <c r="AK36" s="57">
        <v>0.05092592592592593</v>
      </c>
      <c r="AL36" s="49">
        <v>0.039837962962962964</v>
      </c>
      <c r="AM36" s="57">
        <v>0.33490740740740743</v>
      </c>
      <c r="AN36" s="57">
        <v>0.3358912037037037</v>
      </c>
      <c r="AO36" s="57">
        <v>0.33716435185185184</v>
      </c>
      <c r="AP36" s="49">
        <v>0.32408564814814816</v>
      </c>
      <c r="AQ36" s="49">
        <v>0.3295138888888889</v>
      </c>
      <c r="AR36" s="49">
        <v>0.3332986111111111</v>
      </c>
      <c r="AS36" s="57">
        <v>0.34879629629629627</v>
      </c>
      <c r="AT36" s="57">
        <v>0.34879629629629627</v>
      </c>
      <c r="AU36" s="58">
        <v>0.35152777777777783</v>
      </c>
      <c r="AV36" s="49">
        <v>0.06326388888888888</v>
      </c>
      <c r="AW36" s="43"/>
      <c r="AX36" s="43"/>
      <c r="AY36" s="43"/>
    </row>
    <row r="37" spans="1:51" ht="13.5">
      <c r="A37" s="23" t="s">
        <v>14</v>
      </c>
      <c r="B37" s="21" t="s">
        <v>275</v>
      </c>
      <c r="C37" s="22" t="s">
        <v>498</v>
      </c>
      <c r="D37" s="23" t="s">
        <v>41</v>
      </c>
      <c r="E37" s="23" t="s">
        <v>499</v>
      </c>
      <c r="F37" s="24">
        <f t="shared" si="0"/>
        <v>0.00666666666666671</v>
      </c>
      <c r="G37" s="25">
        <f>(4-COUNT(U37,X37,AA37,AD37))*'штрафы-карточка'!$B$4+(6-COUNT(AE37,AL37,AM37,AP37,AS37,AV37))*'штрафы-карточка'!$B$5+(7-COUNT(W37,Z37,AC37,AG37,AO37,AR37,AU37))*'штрафы-карточка'!$B$3</f>
        <v>510</v>
      </c>
      <c r="H37" s="26">
        <f>VLOOKUP(D37,'штрафы-карточка'!$E$2:$L$300,2,FALSE)</f>
        <v>0</v>
      </c>
      <c r="I37" s="26">
        <f>VLOOKUP(D37,'штрафы-карточка'!$E$2:$L$300,3,FALSE)</f>
        <v>540</v>
      </c>
      <c r="J37" s="26">
        <f>VLOOKUP(D37,'штрафы-карточка'!$E$2:$L$300,4,FALSE)</f>
        <v>0</v>
      </c>
      <c r="K37" s="26">
        <f>VLOOKUP(D37,'штрафы-карточка'!$E$2:$L$300,5,FALSE)</f>
        <v>0</v>
      </c>
      <c r="L37" s="26">
        <f>VLOOKUP(D37,'штрафы-карточка'!$E$2:$L$300,6,FALSE)</f>
        <v>0</v>
      </c>
      <c r="M37" s="26">
        <f>VLOOKUP(D37,'штрафы-карточка'!$E$2:$L$300,7,FALSE)</f>
        <v>0</v>
      </c>
      <c r="N37" s="26">
        <f>VLOOKUP(D37,'штрафы-карточка'!$E$2:$L$300,8,FALSE)</f>
        <v>0</v>
      </c>
      <c r="O37" s="61">
        <f t="shared" si="1"/>
        <v>1.1251967592592593</v>
      </c>
      <c r="P37" s="49">
        <v>0.3400462962962963</v>
      </c>
      <c r="Q37" s="57">
        <v>0.0950462962962963</v>
      </c>
      <c r="R37" s="57"/>
      <c r="S37" s="49">
        <v>0.1671527777777778</v>
      </c>
      <c r="T37" s="49"/>
      <c r="U37" s="57">
        <v>0.3709375</v>
      </c>
      <c r="V37" s="57">
        <v>0.37305555555555553</v>
      </c>
      <c r="W37" s="57">
        <v>0.374375</v>
      </c>
      <c r="X37" s="49"/>
      <c r="Y37" s="49"/>
      <c r="Z37" s="49"/>
      <c r="AA37" s="57"/>
      <c r="AB37" s="57"/>
      <c r="AC37" s="57"/>
      <c r="AD37" s="49">
        <v>0.0416666666666667</v>
      </c>
      <c r="AE37" s="57">
        <v>0.2357175925925926</v>
      </c>
      <c r="AF37" s="57">
        <v>0.23731481481481484</v>
      </c>
      <c r="AG37" s="57">
        <v>0.2400925925925926</v>
      </c>
      <c r="AH37" s="49">
        <v>0.04981481481481481</v>
      </c>
      <c r="AI37" s="49">
        <v>0.27447916666666666</v>
      </c>
      <c r="AJ37" s="57">
        <v>0.28194444444444444</v>
      </c>
      <c r="AK37" s="57">
        <v>0.28956018518518517</v>
      </c>
      <c r="AL37" s="49">
        <v>0.03980324074074074</v>
      </c>
      <c r="AM37" s="57">
        <v>0.31114583333333334</v>
      </c>
      <c r="AN37" s="57">
        <v>0.31114583333333334</v>
      </c>
      <c r="AO37" s="57">
        <v>0.3122800925925926</v>
      </c>
      <c r="AP37" s="49">
        <v>0.32971064814814816</v>
      </c>
      <c r="AQ37" s="49">
        <v>0.33266203703703706</v>
      </c>
      <c r="AR37" s="49">
        <v>0.3352893518518518</v>
      </c>
      <c r="AS37" s="57"/>
      <c r="AT37" s="57"/>
      <c r="AU37" s="58"/>
      <c r="AV37" s="49">
        <v>0.06265046296296296</v>
      </c>
      <c r="AW37" s="43"/>
      <c r="AX37" s="43"/>
      <c r="AY37" s="43"/>
    </row>
    <row r="38" spans="1:51" ht="13.5">
      <c r="A38" s="23" t="s">
        <v>15</v>
      </c>
      <c r="B38" s="21" t="s">
        <v>275</v>
      </c>
      <c r="C38" s="22" t="s">
        <v>470</v>
      </c>
      <c r="D38" s="23" t="s">
        <v>33</v>
      </c>
      <c r="E38" s="23" t="s">
        <v>471</v>
      </c>
      <c r="F38" s="24">
        <f t="shared" si="0"/>
        <v>0.002476851851851869</v>
      </c>
      <c r="G38" s="25">
        <f>(4-COUNT(U38,X38,AA38,AD38))*'штрафы-карточка'!$B$4+(6-COUNT(AE38,AL38,AM38,AP38,AS38,AV38))*'штрафы-карточка'!$B$5+(7-COUNT(W38,Z38,AC38,AG38,AO38,AR38,AU38))*'штрафы-карточка'!$B$3</f>
        <v>0</v>
      </c>
      <c r="H38" s="26">
        <f>VLOOKUP(D38,'штрафы-карточка'!$E$2:$L$300,2,FALSE)</f>
        <v>0</v>
      </c>
      <c r="I38" s="26">
        <f>VLOOKUP(D38,'штрафы-карточка'!$E$2:$L$300,3,FALSE)</f>
        <v>840</v>
      </c>
      <c r="J38" s="26">
        <f>VLOOKUP(D38,'штрафы-карточка'!$E$2:$L$300,4,FALSE)</f>
        <v>120</v>
      </c>
      <c r="K38" s="26">
        <f>VLOOKUP(D38,'штрафы-карточка'!$E$2:$L$300,5,FALSE)</f>
        <v>360</v>
      </c>
      <c r="L38" s="26">
        <f>VLOOKUP(D38,'штрафы-карточка'!$E$2:$L$300,6,FALSE)</f>
        <v>180</v>
      </c>
      <c r="M38" s="26">
        <f>VLOOKUP(D38,'штрафы-карточка'!$E$2:$L$300,7,FALSE)</f>
        <v>0</v>
      </c>
      <c r="N38" s="26">
        <f>VLOOKUP(D38,'штрафы-карточка'!$E$2:$L$300,8,FALSE)</f>
        <v>0</v>
      </c>
      <c r="O38" s="61">
        <f t="shared" si="1"/>
        <v>1.489085648148148</v>
      </c>
      <c r="P38" s="49">
        <v>0.3434953703703704</v>
      </c>
      <c r="Q38" s="57">
        <v>0.14607638888888888</v>
      </c>
      <c r="R38" s="57"/>
      <c r="S38" s="49"/>
      <c r="T38" s="49"/>
      <c r="U38" s="57">
        <v>0.39130787037037035</v>
      </c>
      <c r="V38" s="57">
        <v>0.39130787037037035</v>
      </c>
      <c r="W38" s="57">
        <v>0.3961689814814815</v>
      </c>
      <c r="X38" s="49">
        <v>0.3764814814814815</v>
      </c>
      <c r="Y38" s="49">
        <v>0.3766550925925926</v>
      </c>
      <c r="Z38" s="49">
        <v>0.3809837962962963</v>
      </c>
      <c r="AA38" s="57">
        <v>0.4242708333333333</v>
      </c>
      <c r="AB38" s="57">
        <v>0.42657407407407405</v>
      </c>
      <c r="AC38" s="57">
        <v>0.4285185185185185</v>
      </c>
      <c r="AD38" s="49">
        <v>0.0416666666666667</v>
      </c>
      <c r="AE38" s="57">
        <v>0.21597222222222223</v>
      </c>
      <c r="AF38" s="57">
        <v>0.21597222222222223</v>
      </c>
      <c r="AG38" s="57">
        <v>0.22251157407407407</v>
      </c>
      <c r="AH38" s="49">
        <v>0.06734953703703704</v>
      </c>
      <c r="AI38" s="49">
        <v>0.269537037037037</v>
      </c>
      <c r="AJ38" s="57">
        <v>0.03912037037037037</v>
      </c>
      <c r="AK38" s="57">
        <v>0.04850694444444444</v>
      </c>
      <c r="AL38" s="49">
        <v>0.034074074074074076</v>
      </c>
      <c r="AM38" s="57">
        <v>0.3364583333333333</v>
      </c>
      <c r="AN38" s="57">
        <v>0.3364583333333333</v>
      </c>
      <c r="AO38" s="57">
        <v>0.3386574074074074</v>
      </c>
      <c r="AP38" s="49">
        <v>0.32276620370370374</v>
      </c>
      <c r="AQ38" s="49">
        <v>0.32276620370370374</v>
      </c>
      <c r="AR38" s="49">
        <v>0.330625</v>
      </c>
      <c r="AS38" s="57">
        <v>0.3524305555555556</v>
      </c>
      <c r="AT38" s="57">
        <v>0.3524305555555556</v>
      </c>
      <c r="AU38" s="58">
        <v>0.3628587962962963</v>
      </c>
      <c r="AV38" s="49">
        <v>0.2663425925925926</v>
      </c>
      <c r="AW38" s="43"/>
      <c r="AX38" s="43"/>
      <c r="AY38" s="43"/>
    </row>
    <row r="39" spans="1:51" ht="13.5">
      <c r="A39" s="23" t="s">
        <v>16</v>
      </c>
      <c r="B39" s="21" t="s">
        <v>275</v>
      </c>
      <c r="C39" s="22" t="s">
        <v>510</v>
      </c>
      <c r="D39" s="23" t="s">
        <v>46</v>
      </c>
      <c r="E39" s="23" t="s">
        <v>511</v>
      </c>
      <c r="F39" s="24">
        <f t="shared" si="0"/>
        <v>0.004930555555555549</v>
      </c>
      <c r="G39" s="25">
        <f>(4-COUNT(U39,X39,AA39,AD39))*'штрафы-карточка'!$B$4+(6-COUNT(AE39,AL39,AM39,AP39,AS39,AV39))*'штрафы-карточка'!$B$5+(7-COUNT(W39,Z39,AC39,AG39,AO39,AR39,AU39))*'штрафы-карточка'!$B$3</f>
        <v>690</v>
      </c>
      <c r="H39" s="26">
        <f>VLOOKUP(D39,'штрафы-карточка'!$E$2:$L$300,2,FALSE)</f>
        <v>0</v>
      </c>
      <c r="I39" s="26">
        <f>VLOOKUP(D39,'штрафы-карточка'!$E$2:$L$300,3,FALSE)</f>
        <v>960</v>
      </c>
      <c r="J39" s="26">
        <f>VLOOKUP(D39,'штрафы-карточка'!$E$2:$L$300,4,FALSE)</f>
        <v>0</v>
      </c>
      <c r="K39" s="26">
        <f>VLOOKUP(D39,'штрафы-карточка'!$E$2:$L$300,5,FALSE)</f>
        <v>0</v>
      </c>
      <c r="L39" s="26">
        <f>VLOOKUP(D39,'штрафы-карточка'!$E$2:$L$300,6,FALSE)</f>
        <v>0</v>
      </c>
      <c r="M39" s="26">
        <f>VLOOKUP(D39,'штрафы-карточка'!$E$2:$L$300,7,FALSE)</f>
        <v>0</v>
      </c>
      <c r="N39" s="26">
        <f>VLOOKUP(D39,'штрафы-карточка'!$E$2:$L$300,8,FALSE)</f>
        <v>0</v>
      </c>
      <c r="O39" s="61">
        <f t="shared" si="1"/>
        <v>1.598101851851852</v>
      </c>
      <c r="P39" s="49"/>
      <c r="Q39" s="57">
        <v>0.1795601851851852</v>
      </c>
      <c r="R39" s="57"/>
      <c r="S39" s="49">
        <v>0.21652777777777776</v>
      </c>
      <c r="T39" s="49">
        <v>0.25753472222222223</v>
      </c>
      <c r="U39" s="57"/>
      <c r="V39" s="57"/>
      <c r="W39" s="57"/>
      <c r="X39" s="49"/>
      <c r="Y39" s="49"/>
      <c r="Z39" s="49"/>
      <c r="AA39" s="57"/>
      <c r="AB39" s="57"/>
      <c r="AC39" s="57"/>
      <c r="AD39" s="49">
        <v>0.0416666666666667</v>
      </c>
      <c r="AE39" s="57">
        <v>0.33238425925925924</v>
      </c>
      <c r="AF39" s="57">
        <v>0.33238425925925924</v>
      </c>
      <c r="AG39" s="57">
        <v>0.34555555555555556</v>
      </c>
      <c r="AH39" s="49">
        <v>0.07561342592592592</v>
      </c>
      <c r="AI39" s="49">
        <v>0.39592592592592596</v>
      </c>
      <c r="AJ39" s="57">
        <v>0.05363425925925926</v>
      </c>
      <c r="AK39" s="57">
        <v>0.06877314814814815</v>
      </c>
      <c r="AL39" s="49">
        <v>0.038657407407407404</v>
      </c>
      <c r="AM39" s="57">
        <v>0.4436921296296296</v>
      </c>
      <c r="AN39" s="57">
        <v>0.44862268518518517</v>
      </c>
      <c r="AO39" s="57">
        <v>0.45283564814814814</v>
      </c>
      <c r="AP39" s="49">
        <v>0.4300347222222222</v>
      </c>
      <c r="AQ39" s="49">
        <v>0.4300347222222222</v>
      </c>
      <c r="AR39" s="49">
        <v>0.44131944444444443</v>
      </c>
      <c r="AS39" s="57"/>
      <c r="AT39" s="57"/>
      <c r="AU39" s="58"/>
      <c r="AV39" s="49">
        <v>0.3961689814814815</v>
      </c>
      <c r="AW39" s="43"/>
      <c r="AX39" s="43"/>
      <c r="AY39" s="43"/>
    </row>
    <row r="40" spans="1:51" ht="13.5">
      <c r="A40" s="23" t="s">
        <v>17</v>
      </c>
      <c r="B40" s="21" t="s">
        <v>275</v>
      </c>
      <c r="C40" s="22" t="s">
        <v>514</v>
      </c>
      <c r="D40" s="23" t="s">
        <v>44</v>
      </c>
      <c r="E40" s="23" t="s">
        <v>515</v>
      </c>
      <c r="F40" s="24">
        <f t="shared" si="0"/>
        <v>0.0002546296296296324</v>
      </c>
      <c r="G40" s="25">
        <f>(4-COUNT(U40,X40,AA40,AD40))*'штрафы-карточка'!$B$4+(6-COUNT(AE40,AL40,AM40,AP40,AS40,AV40))*'штрафы-карточка'!$B$5+(7-COUNT(W40,Z40,AC40,AG40,AO40,AR40,AU40))*'штрафы-карточка'!$B$3</f>
        <v>720</v>
      </c>
      <c r="H40" s="26">
        <f>VLOOKUP(D40,'штрафы-карточка'!$E$2:$L$300,2,FALSE)</f>
        <v>0</v>
      </c>
      <c r="I40" s="26">
        <f>VLOOKUP(D40,'штрафы-карточка'!$E$2:$L$300,3,FALSE)</f>
        <v>840</v>
      </c>
      <c r="J40" s="26">
        <f>VLOOKUP(D40,'штрафы-карточка'!$E$2:$L$300,4,FALSE)</f>
        <v>0</v>
      </c>
      <c r="K40" s="26">
        <f>VLOOKUP(D40,'штрафы-карточка'!$E$2:$L$300,5,FALSE)</f>
        <v>0</v>
      </c>
      <c r="L40" s="26">
        <f>VLOOKUP(D40,'штрафы-карточка'!$E$2:$L$300,6,FALSE)</f>
        <v>150</v>
      </c>
      <c r="M40" s="26">
        <f>VLOOKUP(D40,'штрафы-карточка'!$E$2:$L$300,7,FALSE)</f>
        <v>0</v>
      </c>
      <c r="N40" s="26">
        <f>VLOOKUP(D40,'штрафы-карточка'!$E$2:$L$300,8,FALSE)</f>
        <v>0</v>
      </c>
      <c r="O40" s="61">
        <f t="shared" si="1"/>
        <v>1.6294907407407409</v>
      </c>
      <c r="P40" s="49">
        <v>0.42172453703703705</v>
      </c>
      <c r="Q40" s="57">
        <v>0.20851851851851852</v>
      </c>
      <c r="R40" s="57"/>
      <c r="S40" s="49">
        <v>0.29819444444444443</v>
      </c>
      <c r="T40" s="49">
        <v>0.3454861111111111</v>
      </c>
      <c r="U40" s="57"/>
      <c r="V40" s="57"/>
      <c r="W40" s="57"/>
      <c r="X40" s="49"/>
      <c r="Y40" s="49"/>
      <c r="Z40" s="49"/>
      <c r="AA40" s="57"/>
      <c r="AB40" s="57"/>
      <c r="AC40" s="57"/>
      <c r="AD40" s="49">
        <v>0.0416666666666667</v>
      </c>
      <c r="AE40" s="67">
        <v>0.3652777777777778</v>
      </c>
      <c r="AF40" s="67">
        <v>0.3652777777777778</v>
      </c>
      <c r="AG40" s="57">
        <v>0.36722222222222217</v>
      </c>
      <c r="AH40" s="49">
        <v>0.1279398148148148</v>
      </c>
      <c r="AI40" s="49">
        <v>0.38849537037037035</v>
      </c>
      <c r="AJ40" s="57">
        <v>0.03229166666666667</v>
      </c>
      <c r="AK40" s="57">
        <v>0.04324074074074074</v>
      </c>
      <c r="AL40" s="49">
        <v>0.04967592592592593</v>
      </c>
      <c r="AM40" s="57">
        <v>0.08831018518518519</v>
      </c>
      <c r="AN40" s="57">
        <v>0.08856481481481482</v>
      </c>
      <c r="AO40" s="57">
        <v>0.09175925925925926</v>
      </c>
      <c r="AP40" s="49">
        <v>0.1002199074074074</v>
      </c>
      <c r="AQ40" s="49">
        <v>0.1002199074074074</v>
      </c>
      <c r="AR40" s="49">
        <v>0.11623842592592593</v>
      </c>
      <c r="AS40" s="57"/>
      <c r="AT40" s="57"/>
      <c r="AU40" s="58"/>
      <c r="AV40" s="49"/>
      <c r="AW40" s="43"/>
      <c r="AX40" s="43"/>
      <c r="AY40" s="43"/>
    </row>
    <row r="41" spans="1:51" ht="13.5">
      <c r="A41" s="70" t="s">
        <v>1</v>
      </c>
      <c r="B41" s="21" t="s">
        <v>270</v>
      </c>
      <c r="C41" s="22" t="s">
        <v>444</v>
      </c>
      <c r="D41" s="23" t="s">
        <v>55</v>
      </c>
      <c r="E41" s="23" t="s">
        <v>445</v>
      </c>
      <c r="F41" s="24">
        <f t="shared" si="0"/>
        <v>0.00564814814814818</v>
      </c>
      <c r="G41" s="25">
        <f>(4-COUNT(U41,X41,AA41,AD41))*'штрафы-карточка'!$B$4+(6-COUNT(AE41,AL41,AM41,AP41,AS41,AV41))*'штрафы-карточка'!$B$5+(7-COUNT(W41,Z41,AC41,AG41,AO41,AR41,AU41))*'штрафы-карточка'!$B$3</f>
        <v>0</v>
      </c>
      <c r="H41" s="26">
        <f>VLOOKUP(D41,'штрафы-карточка'!$E$2:$L$300,2,FALSE)</f>
        <v>0</v>
      </c>
      <c r="I41" s="26">
        <f>VLOOKUP(D41,'штрафы-карточка'!$E$2:$L$300,3,FALSE)</f>
        <v>0</v>
      </c>
      <c r="J41" s="26">
        <f>VLOOKUP(D41,'штрафы-карточка'!$E$2:$L$300,4,FALSE)</f>
        <v>0</v>
      </c>
      <c r="K41" s="26">
        <f>VLOOKUP(D41,'штрафы-карточка'!$E$2:$L$300,5,FALSE)</f>
        <v>0</v>
      </c>
      <c r="L41" s="26">
        <f>VLOOKUP(D41,'штрафы-карточка'!$E$2:$L$300,6,FALSE)</f>
        <v>0</v>
      </c>
      <c r="M41" s="26">
        <f>VLOOKUP(D41,'штрафы-карточка'!$E$2:$L$300,7,FALSE)</f>
        <v>0</v>
      </c>
      <c r="N41" s="26">
        <f>VLOOKUP(D41,'штрафы-карточка'!$E$2:$L$300,8,FALSE)</f>
        <v>0</v>
      </c>
      <c r="O41" s="61">
        <f t="shared" si="1"/>
        <v>0.3694675925925926</v>
      </c>
      <c r="P41" s="49">
        <v>0.2345486111111111</v>
      </c>
      <c r="Q41" s="57">
        <v>0.08071759259259259</v>
      </c>
      <c r="R41" s="57"/>
      <c r="S41" s="49">
        <v>0.10641203703703704</v>
      </c>
      <c r="T41" s="49">
        <v>0.13478009259259258</v>
      </c>
      <c r="U41" s="57">
        <v>0.34194444444444444</v>
      </c>
      <c r="V41" s="57">
        <v>0.34194444444444444</v>
      </c>
      <c r="W41" s="57">
        <v>0.34473379629629625</v>
      </c>
      <c r="X41" s="49">
        <v>0.31082175925925926</v>
      </c>
      <c r="Y41" s="49">
        <v>0.31118055555555557</v>
      </c>
      <c r="Z41" s="49">
        <v>0.31342592592592594</v>
      </c>
      <c r="AA41" s="57">
        <v>0.29151620370370374</v>
      </c>
      <c r="AB41" s="57">
        <v>0.29151620370370374</v>
      </c>
      <c r="AC41" s="57">
        <v>0.2924305555555556</v>
      </c>
      <c r="AD41" s="49">
        <v>0.0416666666666667</v>
      </c>
      <c r="AE41" s="57">
        <v>0.15890046296296298</v>
      </c>
      <c r="AF41" s="57">
        <v>0.15890046296296298</v>
      </c>
      <c r="AG41" s="57">
        <v>0.1626388888888889</v>
      </c>
      <c r="AH41" s="49">
        <v>0.04487268518518519</v>
      </c>
      <c r="AI41" s="49">
        <v>0.19469907407407408</v>
      </c>
      <c r="AJ41" s="57">
        <v>0.031516203703703706</v>
      </c>
      <c r="AK41" s="57">
        <v>0.038703703703703705</v>
      </c>
      <c r="AL41" s="49">
        <v>0.028067129629629626</v>
      </c>
      <c r="AM41" s="57">
        <v>0.2276041666666667</v>
      </c>
      <c r="AN41" s="57">
        <v>0.2276041666666667</v>
      </c>
      <c r="AO41" s="57">
        <v>0.2299189814814815</v>
      </c>
      <c r="AP41" s="49">
        <v>0.21685185185185185</v>
      </c>
      <c r="AQ41" s="49">
        <v>0.22214120370370372</v>
      </c>
      <c r="AR41" s="49">
        <v>0.22590277777777779</v>
      </c>
      <c r="AS41" s="57">
        <v>0.24016203703703706</v>
      </c>
      <c r="AT41" s="57">
        <v>0.24016203703703706</v>
      </c>
      <c r="AU41" s="58">
        <v>0.24313657407407407</v>
      </c>
      <c r="AV41" s="49">
        <v>0.19207175925925926</v>
      </c>
      <c r="AW41" s="43"/>
      <c r="AX41" s="43"/>
      <c r="AY41" s="43"/>
    </row>
    <row r="42" spans="1:51" ht="13.5">
      <c r="A42" s="70" t="s">
        <v>2</v>
      </c>
      <c r="B42" s="21" t="s">
        <v>270</v>
      </c>
      <c r="C42" s="22" t="s">
        <v>468</v>
      </c>
      <c r="D42" s="23" t="s">
        <v>53</v>
      </c>
      <c r="E42" s="23" t="s">
        <v>469</v>
      </c>
      <c r="F42" s="24">
        <f t="shared" si="0"/>
        <v>0.0029629629629630005</v>
      </c>
      <c r="G42" s="25">
        <f>(4-COUNT(U42,X42,AA42,AD42))*'штрафы-карточка'!$B$4+(6-COUNT(AE42,AL42,AM42,AP42,AS42,AV42))*'штрафы-карточка'!$B$5+(7-COUNT(W42,Z42,AC42,AG42,AO42,AR42,AU42))*'штрафы-карточка'!$B$3</f>
        <v>0</v>
      </c>
      <c r="H42" s="26">
        <f>VLOOKUP(D42,'штрафы-карточка'!$E$2:$L$300,2,FALSE)</f>
        <v>0</v>
      </c>
      <c r="I42" s="26">
        <f>VLOOKUP(D42,'штрафы-карточка'!$E$2:$L$300,3,FALSE)</f>
        <v>360</v>
      </c>
      <c r="J42" s="26">
        <f>VLOOKUP(D42,'штрафы-карточка'!$E$2:$L$300,4,FALSE)</f>
        <v>0</v>
      </c>
      <c r="K42" s="26">
        <f>VLOOKUP(D42,'штрафы-карточка'!$E$2:$L$300,5,FALSE)</f>
        <v>0</v>
      </c>
      <c r="L42" s="26">
        <f>VLOOKUP(D42,'штрафы-карточка'!$E$2:$L$300,6,FALSE)</f>
        <v>0</v>
      </c>
      <c r="M42" s="26">
        <f>VLOOKUP(D42,'штрафы-карточка'!$E$2:$L$300,7,FALSE)</f>
        <v>0</v>
      </c>
      <c r="N42" s="26">
        <f>VLOOKUP(D42,'штрафы-карточка'!$E$2:$L$300,8,FALSE)</f>
        <v>0</v>
      </c>
      <c r="O42" s="61">
        <f t="shared" si="1"/>
        <v>0.6947106481481481</v>
      </c>
      <c r="P42" s="49">
        <v>0.3207291666666667</v>
      </c>
      <c r="Q42" s="57">
        <v>0.10753472222222223</v>
      </c>
      <c r="R42" s="57"/>
      <c r="S42" s="49">
        <v>0.14929398148148149</v>
      </c>
      <c r="T42" s="49">
        <v>0.1808912037037037</v>
      </c>
      <c r="U42" s="57">
        <v>0.38105324074074076</v>
      </c>
      <c r="V42" s="57">
        <v>0.3824652777777778</v>
      </c>
      <c r="W42" s="57">
        <v>0.38548611111111114</v>
      </c>
      <c r="X42" s="49">
        <v>0.35464120370370367</v>
      </c>
      <c r="Y42" s="49">
        <v>0.3552199074074074</v>
      </c>
      <c r="Z42" s="49">
        <v>0.3589583333333333</v>
      </c>
      <c r="AA42" s="57">
        <v>0.4179513888888889</v>
      </c>
      <c r="AB42" s="57">
        <v>0.41892361111111115</v>
      </c>
      <c r="AC42" s="57">
        <v>0.42009259259259263</v>
      </c>
      <c r="AD42" s="49">
        <v>0.0416666666666667</v>
      </c>
      <c r="AE42" s="57">
        <v>0.22238425925925928</v>
      </c>
      <c r="AF42" s="57">
        <v>0.22238425925925928</v>
      </c>
      <c r="AG42" s="57">
        <v>0.22693287037037035</v>
      </c>
      <c r="AH42" s="49">
        <v>0.05</v>
      </c>
      <c r="AI42" s="49">
        <v>0.2774189814814815</v>
      </c>
      <c r="AJ42" s="57">
        <v>0.027164351851851853</v>
      </c>
      <c r="AK42" s="57">
        <v>0.031215277777777783</v>
      </c>
      <c r="AL42" s="49">
        <v>0.023483796296296298</v>
      </c>
      <c r="AM42" s="57">
        <v>0.3149189814814815</v>
      </c>
      <c r="AN42" s="57">
        <v>0.3149189814814815</v>
      </c>
      <c r="AO42" s="57">
        <v>0.3171759259259259</v>
      </c>
      <c r="AP42" s="49">
        <v>0.30821759259259257</v>
      </c>
      <c r="AQ42" s="49">
        <v>0.30821759259259257</v>
      </c>
      <c r="AR42" s="49">
        <v>0.3131481481481481</v>
      </c>
      <c r="AS42" s="57">
        <v>0.33087962962962963</v>
      </c>
      <c r="AT42" s="57">
        <v>0.33087962962962963</v>
      </c>
      <c r="AU42" s="58">
        <v>0.3368865740740741</v>
      </c>
      <c r="AV42" s="49">
        <v>0.2740046296296296</v>
      </c>
      <c r="AW42" s="43"/>
      <c r="AX42" s="43"/>
      <c r="AY42" s="43"/>
    </row>
    <row r="43" spans="1:51" ht="13.5">
      <c r="A43" s="70" t="s">
        <v>3</v>
      </c>
      <c r="B43" s="21" t="s">
        <v>270</v>
      </c>
      <c r="C43" s="22" t="s">
        <v>506</v>
      </c>
      <c r="D43" s="23" t="s">
        <v>47</v>
      </c>
      <c r="E43" s="23" t="s">
        <v>507</v>
      </c>
      <c r="F43" s="24">
        <f t="shared" si="0"/>
        <v>0.00752314814814814</v>
      </c>
      <c r="G43" s="25">
        <f>(4-COUNT(U43,X43,AA43,AD43))*'штрафы-карточка'!$B$4+(6-COUNT(AE43,AL43,AM43,AP43,AS43,AV43))*'штрафы-карточка'!$B$5+(7-COUNT(W43,Z43,AC43,AG43,AO43,AR43,AU43))*'штрафы-карточка'!$B$3</f>
        <v>540</v>
      </c>
      <c r="H43" s="26">
        <f>VLOOKUP(D43,'штрафы-карточка'!$E$2:$L$300,2,FALSE)</f>
        <v>0</v>
      </c>
      <c r="I43" s="26">
        <f>VLOOKUP(D43,'штрафы-карточка'!$E$2:$L$300,3,FALSE)</f>
        <v>360</v>
      </c>
      <c r="J43" s="26">
        <f>VLOOKUP(D43,'штрафы-карточка'!$E$2:$L$300,4,FALSE)</f>
        <v>0</v>
      </c>
      <c r="K43" s="26">
        <f>VLOOKUP(D43,'штрафы-карточка'!$E$2:$L$300,5,FALSE)</f>
        <v>0</v>
      </c>
      <c r="L43" s="26">
        <f>VLOOKUP(D43,'штрафы-карточка'!$E$2:$L$300,6,FALSE)</f>
        <v>0</v>
      </c>
      <c r="M43" s="26">
        <f>VLOOKUP(D43,'штрафы-карточка'!$E$2:$L$300,7,FALSE)</f>
        <v>150</v>
      </c>
      <c r="N43" s="26">
        <f>VLOOKUP(D43,'штрафы-карточка'!$E$2:$L$300,8,FALSE)</f>
        <v>0</v>
      </c>
      <c r="O43" s="61">
        <f t="shared" si="1"/>
        <v>1.1766666666666667</v>
      </c>
      <c r="P43" s="49">
        <v>0.3710648148148148</v>
      </c>
      <c r="Q43" s="57">
        <v>0.11875</v>
      </c>
      <c r="R43" s="57"/>
      <c r="S43" s="49">
        <v>0.15756944444444446</v>
      </c>
      <c r="T43" s="49">
        <v>0.19881944444444444</v>
      </c>
      <c r="U43" s="57"/>
      <c r="V43" s="57"/>
      <c r="W43" s="57"/>
      <c r="X43" s="49"/>
      <c r="Y43" s="49"/>
      <c r="Z43" s="49"/>
      <c r="AA43" s="57"/>
      <c r="AB43" s="57"/>
      <c r="AC43" s="57"/>
      <c r="AD43" s="49">
        <v>0.0416666666666667</v>
      </c>
      <c r="AE43" s="57">
        <v>0.24793981481481484</v>
      </c>
      <c r="AF43" s="57">
        <v>0.24793981481481484</v>
      </c>
      <c r="AG43" s="57">
        <v>0.2586805555555555</v>
      </c>
      <c r="AH43" s="49">
        <v>0.06506944444444444</v>
      </c>
      <c r="AI43" s="49">
        <v>0.3094675925925926</v>
      </c>
      <c r="AJ43" s="57"/>
      <c r="AK43" s="57"/>
      <c r="AL43" s="49">
        <v>0.05150462962962963</v>
      </c>
      <c r="AM43" s="57">
        <v>0.36467592592592596</v>
      </c>
      <c r="AN43" s="57">
        <v>0.36467592592592596</v>
      </c>
      <c r="AO43" s="57">
        <v>0.3665162037037037</v>
      </c>
      <c r="AP43" s="49">
        <v>0.35071759259259255</v>
      </c>
      <c r="AQ43" s="49">
        <v>0.3582407407407407</v>
      </c>
      <c r="AR43" s="49">
        <v>0.36258101851851854</v>
      </c>
      <c r="AS43" s="57">
        <v>0.37847222222222227</v>
      </c>
      <c r="AT43" s="57">
        <v>0.37847222222222227</v>
      </c>
      <c r="AU43" s="58">
        <v>0.3829398148148148</v>
      </c>
      <c r="AV43" s="49">
        <v>0.3063194444444444</v>
      </c>
      <c r="AW43" s="43"/>
      <c r="AX43" s="43"/>
      <c r="AY43" s="43"/>
    </row>
    <row r="44" spans="1:51" ht="13.5">
      <c r="A44" s="23" t="s">
        <v>4</v>
      </c>
      <c r="B44" s="21" t="s">
        <v>270</v>
      </c>
      <c r="C44" s="22" t="s">
        <v>484</v>
      </c>
      <c r="D44" s="23" t="s">
        <v>54</v>
      </c>
      <c r="E44" s="23" t="s">
        <v>485</v>
      </c>
      <c r="F44" s="24">
        <f t="shared" si="0"/>
        <v>0.0009027777777778079</v>
      </c>
      <c r="G44" s="25">
        <f>(4-COUNT(U44,X44,AA44,AD44))*'штрафы-карточка'!$B$4+(6-COUNT(AE44,AL44,AM44,AP44,AS44,AV44))*'штрафы-карточка'!$B$5+(7-COUNT(W44,Z44,AC44,AG44,AO44,AR44,AU44))*'штрафы-карточка'!$B$3</f>
        <v>180</v>
      </c>
      <c r="H44" s="26">
        <f>VLOOKUP(D44,'штрафы-карточка'!$E$2:$L$300,2,FALSE)</f>
        <v>0</v>
      </c>
      <c r="I44" s="26">
        <f>VLOOKUP(D44,'штрафы-карточка'!$E$2:$L$300,3,FALSE)</f>
        <v>900</v>
      </c>
      <c r="J44" s="26">
        <f>VLOOKUP(D44,'штрафы-карточка'!$E$2:$L$300,4,FALSE)</f>
        <v>0</v>
      </c>
      <c r="K44" s="26">
        <f>VLOOKUP(D44,'штрафы-карточка'!$E$2:$L$300,5,FALSE)</f>
        <v>0</v>
      </c>
      <c r="L44" s="26">
        <f>VLOOKUP(D44,'штрафы-карточка'!$E$2:$L$300,6,FALSE)</f>
        <v>0</v>
      </c>
      <c r="M44" s="26">
        <f>VLOOKUP(D44,'штрафы-карточка'!$E$2:$L$300,7,FALSE)</f>
        <v>0</v>
      </c>
      <c r="N44" s="26">
        <f>VLOOKUP(D44,'штрафы-карточка'!$E$2:$L$300,8,FALSE)</f>
        <v>0</v>
      </c>
      <c r="O44" s="61">
        <f t="shared" si="1"/>
        <v>1.198136574074074</v>
      </c>
      <c r="P44" s="49">
        <v>0.3715162037037037</v>
      </c>
      <c r="Q44" s="57">
        <v>0.12023148148148148</v>
      </c>
      <c r="R44" s="57"/>
      <c r="S44" s="49">
        <v>0.1592476851851852</v>
      </c>
      <c r="T44" s="49">
        <v>0.1973611111111111</v>
      </c>
      <c r="U44" s="57">
        <v>0.42364583333333333</v>
      </c>
      <c r="V44" s="57">
        <v>0.42454861111111114</v>
      </c>
      <c r="W44" s="57">
        <v>0.4265046296296296</v>
      </c>
      <c r="X44" s="49">
        <v>0.40405092592592595</v>
      </c>
      <c r="Y44" s="49">
        <v>0.40405092592592595</v>
      </c>
      <c r="Z44" s="49">
        <v>0.4096296296296296</v>
      </c>
      <c r="AA44" s="57"/>
      <c r="AB44" s="57"/>
      <c r="AC44" s="57"/>
      <c r="AD44" s="49">
        <v>0.0416666666666667</v>
      </c>
      <c r="AE44" s="57">
        <v>0.23818287037037036</v>
      </c>
      <c r="AF44" s="57">
        <v>0.23818287037037036</v>
      </c>
      <c r="AG44" s="57">
        <v>0.2431134259259259</v>
      </c>
      <c r="AH44" s="49">
        <v>0.05408564814814815</v>
      </c>
      <c r="AI44" s="49">
        <v>0.2969212962962963</v>
      </c>
      <c r="AJ44" s="57">
        <v>0.0356712962962963</v>
      </c>
      <c r="AK44" s="57">
        <v>0.044849537037037035</v>
      </c>
      <c r="AL44" s="49">
        <v>0.03146990740740741</v>
      </c>
      <c r="AM44" s="57">
        <v>0.36377314814814815</v>
      </c>
      <c r="AN44" s="57">
        <v>0.36377314814814815</v>
      </c>
      <c r="AO44" s="57">
        <v>0.36636574074074074</v>
      </c>
      <c r="AP44" s="49">
        <v>0.349699074074074</v>
      </c>
      <c r="AQ44" s="49">
        <v>0.349699074074074</v>
      </c>
      <c r="AR44" s="49">
        <v>0.3605902777777778</v>
      </c>
      <c r="AS44" s="57">
        <v>0.3789351851851852</v>
      </c>
      <c r="AT44" s="57">
        <v>0.3789351851851852</v>
      </c>
      <c r="AU44" s="58">
        <v>0.3873842592592593</v>
      </c>
      <c r="AV44" s="49">
        <v>0.2938425925925926</v>
      </c>
      <c r="AW44" s="43"/>
      <c r="AX44" s="43"/>
      <c r="AY44" s="43"/>
    </row>
    <row r="45" spans="1:51" ht="13.5">
      <c r="A45" s="23" t="s">
        <v>5</v>
      </c>
      <c r="B45" s="21" t="s">
        <v>270</v>
      </c>
      <c r="C45" s="22" t="s">
        <v>508</v>
      </c>
      <c r="D45" s="23" t="s">
        <v>50</v>
      </c>
      <c r="E45" s="23" t="s">
        <v>509</v>
      </c>
      <c r="F45" s="24">
        <f t="shared" si="0"/>
        <v>0.003171296296296311</v>
      </c>
      <c r="G45" s="25">
        <f>(4-COUNT(U45,X45,AA45,AD45))*'штрафы-карточка'!$B$4+(6-COUNT(AE45,AL45,AM45,AP45,AS45,AV45))*'штрафы-карточка'!$B$5+(7-COUNT(W45,Z45,AC45,AG45,AO45,AR45,AU45))*'штрафы-карточка'!$B$3</f>
        <v>540</v>
      </c>
      <c r="H45" s="26">
        <f>VLOOKUP(D45,'штрафы-карточка'!$E$2:$L$300,2,FALSE)</f>
        <v>0</v>
      </c>
      <c r="I45" s="26">
        <f>VLOOKUP(D45,'штрафы-карточка'!$E$2:$L$300,3,FALSE)</f>
        <v>300</v>
      </c>
      <c r="J45" s="26">
        <f>VLOOKUP(D45,'штрафы-карточка'!$E$2:$L$300,4,FALSE)</f>
        <v>0</v>
      </c>
      <c r="K45" s="26">
        <f>VLOOKUP(D45,'штрафы-карточка'!$E$2:$L$300,5,FALSE)</f>
        <v>360</v>
      </c>
      <c r="L45" s="26">
        <f>VLOOKUP(D45,'штрафы-карточка'!$E$2:$L$300,6,FALSE)</f>
        <v>0</v>
      </c>
      <c r="M45" s="26">
        <f>VLOOKUP(D45,'штрафы-карточка'!$E$2:$L$300,7,FALSE)</f>
        <v>0</v>
      </c>
      <c r="N45" s="26">
        <f>VLOOKUP(D45,'штрафы-карточка'!$E$2:$L$300,8,FALSE)</f>
        <v>0</v>
      </c>
      <c r="O45" s="61">
        <f t="shared" si="1"/>
        <v>1.2847453703703704</v>
      </c>
      <c r="P45" s="49">
        <v>0.34755787037037034</v>
      </c>
      <c r="Q45" s="57">
        <v>0.1705324074074074</v>
      </c>
      <c r="R45" s="57"/>
      <c r="S45" s="49"/>
      <c r="T45" s="49"/>
      <c r="U45" s="57"/>
      <c r="V45" s="57"/>
      <c r="W45" s="57"/>
      <c r="X45" s="49"/>
      <c r="Y45" s="49"/>
      <c r="Z45" s="49"/>
      <c r="AA45" s="57"/>
      <c r="AB45" s="57"/>
      <c r="AC45" s="57"/>
      <c r="AD45" s="49">
        <v>0.0416666666666667</v>
      </c>
      <c r="AE45" s="57">
        <v>0.24130787037037038</v>
      </c>
      <c r="AF45" s="57">
        <v>0.24130787037037038</v>
      </c>
      <c r="AG45" s="67">
        <v>0.24305555555555555</v>
      </c>
      <c r="AH45" s="49">
        <v>0.07263888888888889</v>
      </c>
      <c r="AI45" s="49">
        <v>0.2867476851851852</v>
      </c>
      <c r="AJ45" s="57">
        <v>0.052245370370370366</v>
      </c>
      <c r="AK45" s="57">
        <v>0.06888888888888889</v>
      </c>
      <c r="AL45" s="49">
        <v>0.03599537037037037</v>
      </c>
      <c r="AM45" s="57">
        <v>0.0037962962962962963</v>
      </c>
      <c r="AN45" s="57">
        <v>0.006967592592592592</v>
      </c>
      <c r="AO45" s="57">
        <v>0.008576388888888889</v>
      </c>
      <c r="AP45" s="49">
        <v>0.3383449074074074</v>
      </c>
      <c r="AQ45" s="49">
        <v>0.3383449074074074</v>
      </c>
      <c r="AR45" s="49">
        <v>0.34251157407407407</v>
      </c>
      <c r="AS45" s="57">
        <v>0.3589583333333333</v>
      </c>
      <c r="AT45" s="57">
        <v>0.3589583333333333</v>
      </c>
      <c r="AU45" s="58">
        <v>0.365324074074074</v>
      </c>
      <c r="AV45" s="49">
        <v>0.07923611111111112</v>
      </c>
      <c r="AW45" s="43"/>
      <c r="AX45" s="43"/>
      <c r="AY45" s="43"/>
    </row>
    <row r="46" spans="1:51" ht="13.5">
      <c r="A46" s="23" t="s">
        <v>6</v>
      </c>
      <c r="B46" s="21" t="s">
        <v>270</v>
      </c>
      <c r="C46" s="22" t="s">
        <v>480</v>
      </c>
      <c r="D46" s="23" t="s">
        <v>49</v>
      </c>
      <c r="E46" s="23" t="s">
        <v>481</v>
      </c>
      <c r="F46" s="24">
        <f t="shared" si="0"/>
        <v>0.01363425925925929</v>
      </c>
      <c r="G46" s="25">
        <f>(4-COUNT(U46,X46,AA46,AD46))*'штрафы-карточка'!$B$4+(6-COUNT(AE46,AL46,AM46,AP46,AS46,AV46))*'штрафы-карточка'!$B$5+(7-COUNT(W46,Z46,AC46,AG46,AO46,AR46,AU46))*'штрафы-карточка'!$B$3</f>
        <v>180</v>
      </c>
      <c r="H46" s="26">
        <f>VLOOKUP(D46,'штрафы-карточка'!$E$2:$L$300,2,FALSE)</f>
        <v>0</v>
      </c>
      <c r="I46" s="26">
        <f>VLOOKUP(D46,'штрафы-карточка'!$E$2:$L$300,3,FALSE)</f>
        <v>240</v>
      </c>
      <c r="J46" s="26">
        <f>VLOOKUP(D46,'штрафы-карточка'!$E$2:$L$300,4,FALSE)</f>
        <v>180</v>
      </c>
      <c r="K46" s="26">
        <f>VLOOKUP(D46,'штрафы-карточка'!$E$2:$L$300,5,FALSE)</f>
        <v>360</v>
      </c>
      <c r="L46" s="26">
        <f>VLOOKUP(D46,'штрафы-карточка'!$E$2:$L$300,6,FALSE)</f>
        <v>420</v>
      </c>
      <c r="M46" s="26">
        <f>VLOOKUP(D46,'штрафы-карточка'!$E$2:$L$300,7,FALSE)</f>
        <v>0</v>
      </c>
      <c r="N46" s="26">
        <f>VLOOKUP(D46,'штрафы-карточка'!$E$2:$L$300,8,FALSE)</f>
        <v>0</v>
      </c>
      <c r="O46" s="61">
        <f t="shared" si="1"/>
        <v>1.3818402777777778</v>
      </c>
      <c r="P46" s="49">
        <v>0.20771990740740742</v>
      </c>
      <c r="Q46" s="57"/>
      <c r="R46" s="57"/>
      <c r="S46" s="49"/>
      <c r="T46" s="49"/>
      <c r="U46" s="57">
        <v>0.30096064814814816</v>
      </c>
      <c r="V46" s="57">
        <v>0.3037037037037037</v>
      </c>
      <c r="W46" s="57">
        <v>0.30575231481481485</v>
      </c>
      <c r="X46" s="49">
        <v>0.2646527777777778</v>
      </c>
      <c r="Y46" s="49">
        <v>0.2646527777777778</v>
      </c>
      <c r="Z46" s="49">
        <v>0.26709490740740743</v>
      </c>
      <c r="AA46" s="57">
        <v>0.35809027777777774</v>
      </c>
      <c r="AB46" s="57">
        <v>0.3640277777777778</v>
      </c>
      <c r="AC46" s="57">
        <v>0.3652314814814815</v>
      </c>
      <c r="AD46" s="49">
        <v>0.0416666666666667</v>
      </c>
      <c r="AE46" s="57"/>
      <c r="AF46" s="57"/>
      <c r="AG46" s="57"/>
      <c r="AH46" s="49">
        <v>0.07555555555555556</v>
      </c>
      <c r="AI46" s="49">
        <v>0.1451388888888889</v>
      </c>
      <c r="AJ46" s="57">
        <v>0.04704861111111111</v>
      </c>
      <c r="AK46" s="57">
        <v>0.05859953703703704</v>
      </c>
      <c r="AL46" s="49">
        <v>0.04163194444444445</v>
      </c>
      <c r="AM46" s="57">
        <v>0.004942129629629629</v>
      </c>
      <c r="AN46" s="57">
        <v>0.009895833333333333</v>
      </c>
      <c r="AO46" s="57">
        <v>0.011863425925925925</v>
      </c>
      <c r="AP46" s="49">
        <v>0.1802777777777778</v>
      </c>
      <c r="AQ46" s="49">
        <v>0.1802777777777778</v>
      </c>
      <c r="AR46" s="49">
        <v>0.20001157407407408</v>
      </c>
      <c r="AS46" s="57">
        <v>0.22217592592592594</v>
      </c>
      <c r="AT46" s="57">
        <v>0.22217592592592594</v>
      </c>
      <c r="AU46" s="58">
        <v>0.2276041666666667</v>
      </c>
      <c r="AV46" s="49"/>
      <c r="AW46" s="43"/>
      <c r="AX46" s="43"/>
      <c r="AY46" s="43"/>
    </row>
    <row r="47" spans="1:51" ht="13.5">
      <c r="A47" s="23" t="s">
        <v>7</v>
      </c>
      <c r="B47" s="21" t="s">
        <v>270</v>
      </c>
      <c r="C47" s="22" t="s">
        <v>504</v>
      </c>
      <c r="D47" s="23" t="s">
        <v>52</v>
      </c>
      <c r="E47" s="23" t="s">
        <v>505</v>
      </c>
      <c r="F47" s="24">
        <f t="shared" si="0"/>
        <v>0</v>
      </c>
      <c r="G47" s="25">
        <f>(4-COUNT(U47,X47,AA47,AD47))*'штрафы-карточка'!$B$4+(6-COUNT(AE47,AL47,AM47,AP47,AS47,AV47))*'штрафы-карточка'!$B$5+(7-COUNT(W47,Z47,AC47,AG47,AO47,AR47,AU47))*'штрафы-карточка'!$B$3</f>
        <v>540</v>
      </c>
      <c r="H47" s="26">
        <f>VLOOKUP(D47,'штрафы-карточка'!$E$2:$L$300,2,FALSE)</f>
        <v>180</v>
      </c>
      <c r="I47" s="26">
        <f>VLOOKUP(D47,'штрафы-карточка'!$E$2:$L$300,3,FALSE)</f>
        <v>780</v>
      </c>
      <c r="J47" s="26">
        <f>VLOOKUP(D47,'штрафы-карточка'!$E$2:$L$300,4,FALSE)</f>
        <v>0</v>
      </c>
      <c r="K47" s="26">
        <f>VLOOKUP(D47,'штрафы-карточка'!$E$2:$L$300,5,FALSE)</f>
        <v>0</v>
      </c>
      <c r="L47" s="26">
        <f>VLOOKUP(D47,'штрафы-карточка'!$E$2:$L$300,6,FALSE)</f>
        <v>60</v>
      </c>
      <c r="M47" s="26">
        <f>VLOOKUP(D47,'штрафы-карточка'!$E$2:$L$300,7,FALSE)</f>
        <v>0</v>
      </c>
      <c r="N47" s="26">
        <f>VLOOKUP(D47,'штрафы-карточка'!$E$2:$L$300,8,FALSE)</f>
        <v>0</v>
      </c>
      <c r="O47" s="61">
        <f t="shared" si="1"/>
        <v>1.5270370370370372</v>
      </c>
      <c r="P47" s="49">
        <v>0.4018402777777778</v>
      </c>
      <c r="Q47" s="57">
        <v>0.1405671296296296</v>
      </c>
      <c r="R47" s="57"/>
      <c r="S47" s="49">
        <v>0.19502314814814814</v>
      </c>
      <c r="T47" s="49">
        <v>0.24885416666666668</v>
      </c>
      <c r="U47" s="57"/>
      <c r="V47" s="57"/>
      <c r="W47" s="57"/>
      <c r="X47" s="49"/>
      <c r="Y47" s="49"/>
      <c r="Z47" s="49"/>
      <c r="AA47" s="57"/>
      <c r="AB47" s="57"/>
      <c r="AC47" s="57"/>
      <c r="AD47" s="49">
        <v>0.0416666666666667</v>
      </c>
      <c r="AE47" s="57">
        <v>0.2951273148148148</v>
      </c>
      <c r="AF47" s="57">
        <v>0.2951273148148148</v>
      </c>
      <c r="AG47" s="57">
        <v>0.29876157407407405</v>
      </c>
      <c r="AH47" s="49">
        <v>0.06540509259259258</v>
      </c>
      <c r="AI47" s="49">
        <v>0.3359837962962963</v>
      </c>
      <c r="AJ47" s="57">
        <v>0.041666666666666664</v>
      </c>
      <c r="AK47" s="57">
        <v>0.05344907407407407</v>
      </c>
      <c r="AL47" s="49">
        <v>0.03575231481481481</v>
      </c>
      <c r="AM47" s="57">
        <v>0.3938657407407407</v>
      </c>
      <c r="AN47" s="57">
        <v>0.3938657407407407</v>
      </c>
      <c r="AO47" s="57">
        <v>0.3958333333333333</v>
      </c>
      <c r="AP47" s="49">
        <v>0.3781597222222222</v>
      </c>
      <c r="AQ47" s="49">
        <v>0.3781597222222222</v>
      </c>
      <c r="AR47" s="49">
        <v>0.3871643518518519</v>
      </c>
      <c r="AS47" s="57">
        <v>0.40892361111111114</v>
      </c>
      <c r="AT47" s="57">
        <v>0.40892361111111114</v>
      </c>
      <c r="AU47" s="58">
        <v>0.4165625</v>
      </c>
      <c r="AV47" s="49">
        <v>0.33283564814814814</v>
      </c>
      <c r="AW47" s="43"/>
      <c r="AX47" s="43"/>
      <c r="AY47" s="43"/>
    </row>
    <row r="48" spans="1:51" ht="13.5">
      <c r="A48" s="23" t="s">
        <v>8</v>
      </c>
      <c r="B48" s="21" t="s">
        <v>270</v>
      </c>
      <c r="C48" s="22" t="s">
        <v>512</v>
      </c>
      <c r="D48" s="23" t="s">
        <v>48</v>
      </c>
      <c r="E48" s="23" t="s">
        <v>513</v>
      </c>
      <c r="F48" s="24">
        <f t="shared" si="0"/>
        <v>0.003819444444444431</v>
      </c>
      <c r="G48" s="25">
        <f>(4-COUNT(U48,X48,AA48,AD48))*'штрафы-карточка'!$B$4+(6-COUNT(AE48,AL48,AM48,AP48,AS48,AV48))*'штрафы-карточка'!$B$5+(7-COUNT(W48,Z48,AC48,AG48,AO48,AR48,AU48))*'штрафы-карточка'!$B$3</f>
        <v>690</v>
      </c>
      <c r="H48" s="26">
        <f>VLOOKUP(D48,'штрафы-карточка'!$E$2:$L$300,2,FALSE)</f>
        <v>0</v>
      </c>
      <c r="I48" s="26">
        <f>VLOOKUP(D48,'штрафы-карточка'!$E$2:$L$300,3,FALSE)</f>
        <v>780</v>
      </c>
      <c r="J48" s="26">
        <f>VLOOKUP(D48,'штрафы-карточка'!$E$2:$L$300,4,FALSE)</f>
        <v>0</v>
      </c>
      <c r="K48" s="26">
        <f>VLOOKUP(D48,'штрафы-карточка'!$E$2:$L$300,5,FALSE)</f>
        <v>0</v>
      </c>
      <c r="L48" s="26">
        <f>VLOOKUP(D48,'штрафы-карточка'!$E$2:$L$300,6,FALSE)</f>
        <v>300</v>
      </c>
      <c r="M48" s="26">
        <f>VLOOKUP(D48,'штрафы-карточка'!$E$2:$L$300,7,FALSE)</f>
        <v>0</v>
      </c>
      <c r="N48" s="26">
        <f>VLOOKUP(D48,'штрафы-карточка'!$E$2:$L$300,8,FALSE)</f>
        <v>0</v>
      </c>
      <c r="O48" s="61">
        <f t="shared" si="1"/>
        <v>1.677685185185185</v>
      </c>
      <c r="P48" s="49">
        <v>0.4185185185185185</v>
      </c>
      <c r="Q48" s="57">
        <v>0.1729166666666667</v>
      </c>
      <c r="R48" s="57"/>
      <c r="S48" s="49">
        <v>0.2223263888888889</v>
      </c>
      <c r="T48" s="49">
        <v>0.27611111111111114</v>
      </c>
      <c r="U48" s="57"/>
      <c r="V48" s="57"/>
      <c r="W48" s="57"/>
      <c r="X48" s="49"/>
      <c r="Y48" s="49"/>
      <c r="Z48" s="49"/>
      <c r="AA48" s="57"/>
      <c r="AB48" s="57"/>
      <c r="AC48" s="57"/>
      <c r="AD48" s="49">
        <v>0.0416666666666667</v>
      </c>
      <c r="AE48" s="57">
        <v>0.3049189814814815</v>
      </c>
      <c r="AF48" s="57">
        <v>0.3049189814814815</v>
      </c>
      <c r="AG48" s="57">
        <v>0.30780092592592595</v>
      </c>
      <c r="AH48" s="49">
        <v>0.0669212962962963</v>
      </c>
      <c r="AI48" s="49">
        <v>0.36075231481481485</v>
      </c>
      <c r="AJ48" s="57">
        <v>0.053807870370370374</v>
      </c>
      <c r="AK48" s="57">
        <v>0.06226851851851852</v>
      </c>
      <c r="AL48" s="49">
        <v>0.03743055555555556</v>
      </c>
      <c r="AM48" s="57">
        <v>0.004976851851851852</v>
      </c>
      <c r="AN48" s="57">
        <v>0.008796296296296297</v>
      </c>
      <c r="AO48" s="57">
        <v>0.009733796296296298</v>
      </c>
      <c r="AP48" s="68">
        <v>0.40277777777777773</v>
      </c>
      <c r="AQ48" s="68">
        <v>0.40277777777777773</v>
      </c>
      <c r="AR48" s="49">
        <v>0.4123148148148148</v>
      </c>
      <c r="AS48" s="57"/>
      <c r="AT48" s="57"/>
      <c r="AU48" s="58"/>
      <c r="AV48" s="49">
        <v>0.35680555555555554</v>
      </c>
      <c r="AW48" s="43"/>
      <c r="AX48" s="43"/>
      <c r="AY48" s="43"/>
    </row>
  </sheetData>
  <mergeCells count="12">
    <mergeCell ref="AP1:AR1"/>
    <mergeCell ref="AS1:AU1"/>
    <mergeCell ref="AH1:AI1"/>
    <mergeCell ref="AJ1:AK1"/>
    <mergeCell ref="B1:O2"/>
    <mergeCell ref="AM1:AO1"/>
    <mergeCell ref="AA1:AC1"/>
    <mergeCell ref="Q1:R1"/>
    <mergeCell ref="U1:W1"/>
    <mergeCell ref="X1:Z1"/>
    <mergeCell ref="S1:T1"/>
    <mergeCell ref="AE1:AG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C20"/>
  <sheetViews>
    <sheetView view="pageBreakPreview" zoomScaleSheetLayoutView="100" workbookViewId="0" topLeftCell="A1">
      <pane ySplit="3" topLeftCell="BM4" activePane="bottomLeft" state="frozen"/>
      <selection pane="topLeft" activeCell="D11" sqref="D11"/>
      <selection pane="bottomLeft" activeCell="B16" sqref="B16"/>
    </sheetView>
  </sheetViews>
  <sheetFormatPr defaultColWidth="9.00390625" defaultRowHeight="12.75"/>
  <cols>
    <col min="1" max="1" width="6.125" style="14" customWidth="1"/>
    <col min="2" max="2" width="19.25390625" style="14" customWidth="1"/>
    <col min="3" max="3" width="5.00390625" style="20" customWidth="1"/>
    <col min="4" max="4" width="11.00390625" style="20" bestFit="1" customWidth="1"/>
    <col min="5" max="5" width="9.75390625" style="20" bestFit="1" customWidth="1"/>
    <col min="6" max="6" width="7.625" style="20" customWidth="1"/>
    <col min="7" max="13" width="4.375" style="20" customWidth="1"/>
    <col min="14" max="14" width="11.375" style="29" customWidth="1"/>
    <col min="15" max="17" width="10.375" style="20" customWidth="1"/>
    <col min="18" max="20" width="10.375" style="13" customWidth="1"/>
    <col min="21" max="25" width="10.375" style="20" customWidth="1"/>
    <col min="26" max="29" width="10.375" style="14" customWidth="1"/>
    <col min="30" max="16384" width="12.625" style="14" customWidth="1"/>
  </cols>
  <sheetData>
    <row r="1" spans="1:29" ht="13.5" customHeight="1">
      <c r="A1" s="91" t="s">
        <v>516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89" t="s">
        <v>244</v>
      </c>
      <c r="P1" s="89"/>
      <c r="Q1" s="89"/>
      <c r="R1" s="90" t="s">
        <v>247</v>
      </c>
      <c r="S1" s="90"/>
      <c r="T1" s="33" t="s">
        <v>248</v>
      </c>
      <c r="U1" s="90" t="s">
        <v>249</v>
      </c>
      <c r="V1" s="90"/>
      <c r="W1" s="90"/>
      <c r="X1" s="89" t="s">
        <v>517</v>
      </c>
      <c r="Y1" s="89"/>
      <c r="Z1" s="89"/>
      <c r="AA1" s="90" t="s">
        <v>250</v>
      </c>
      <c r="AB1" s="90"/>
      <c r="AC1" s="90"/>
    </row>
    <row r="2" spans="1:29" s="15" customFormat="1" ht="60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47" t="s">
        <v>254</v>
      </c>
      <c r="P2" s="47" t="s">
        <v>255</v>
      </c>
      <c r="Q2" s="47" t="s">
        <v>256</v>
      </c>
      <c r="R2" s="53" t="s">
        <v>252</v>
      </c>
      <c r="S2" s="53" t="s">
        <v>253</v>
      </c>
      <c r="T2" s="47" t="s">
        <v>251</v>
      </c>
      <c r="U2" s="53" t="s">
        <v>254</v>
      </c>
      <c r="V2" s="53" t="s">
        <v>255</v>
      </c>
      <c r="W2" s="53" t="s">
        <v>256</v>
      </c>
      <c r="X2" s="47" t="s">
        <v>254</v>
      </c>
      <c r="Y2" s="47" t="s">
        <v>255</v>
      </c>
      <c r="Z2" s="47" t="s">
        <v>256</v>
      </c>
      <c r="AA2" s="53" t="s">
        <v>254</v>
      </c>
      <c r="AB2" s="53" t="s">
        <v>255</v>
      </c>
      <c r="AC2" s="53" t="s">
        <v>256</v>
      </c>
    </row>
    <row r="3" spans="1:29" s="20" customFormat="1" ht="41.25" customHeight="1">
      <c r="A3" s="34" t="s">
        <v>257</v>
      </c>
      <c r="B3" s="34" t="s">
        <v>258</v>
      </c>
      <c r="C3" s="34" t="s">
        <v>0</v>
      </c>
      <c r="D3" s="35" t="s">
        <v>259</v>
      </c>
      <c r="E3" s="36" t="s">
        <v>260</v>
      </c>
      <c r="F3" s="37" t="s">
        <v>261</v>
      </c>
      <c r="G3" s="2" t="s">
        <v>553</v>
      </c>
      <c r="H3" s="2" t="s">
        <v>554</v>
      </c>
      <c r="I3" s="2" t="s">
        <v>555</v>
      </c>
      <c r="J3" s="2" t="s">
        <v>556</v>
      </c>
      <c r="K3" s="2" t="s">
        <v>557</v>
      </c>
      <c r="L3" s="2" t="s">
        <v>558</v>
      </c>
      <c r="M3" s="2" t="s">
        <v>559</v>
      </c>
      <c r="N3" s="63" t="s">
        <v>262</v>
      </c>
      <c r="O3" s="33">
        <v>105</v>
      </c>
      <c r="P3" s="33">
        <v>105</v>
      </c>
      <c r="Q3" s="33">
        <v>205</v>
      </c>
      <c r="R3" s="32">
        <v>111</v>
      </c>
      <c r="S3" s="32">
        <v>111</v>
      </c>
      <c r="T3" s="33">
        <v>112</v>
      </c>
      <c r="U3" s="32">
        <v>113</v>
      </c>
      <c r="V3" s="32">
        <v>113</v>
      </c>
      <c r="W3" s="32">
        <v>213</v>
      </c>
      <c r="X3" s="33">
        <v>114</v>
      </c>
      <c r="Y3" s="33">
        <v>114</v>
      </c>
      <c r="Z3" s="33">
        <v>214</v>
      </c>
      <c r="AA3" s="32">
        <v>115</v>
      </c>
      <c r="AB3" s="32">
        <v>115</v>
      </c>
      <c r="AC3" s="32">
        <v>215</v>
      </c>
    </row>
    <row r="4" spans="1:29" ht="13.5">
      <c r="A4" s="72">
        <v>1</v>
      </c>
      <c r="B4" s="22" t="s">
        <v>518</v>
      </c>
      <c r="C4" s="23" t="s">
        <v>207</v>
      </c>
      <c r="D4" s="23" t="s">
        <v>519</v>
      </c>
      <c r="E4" s="24">
        <f aca="true" t="shared" si="0" ref="E4:E20">P4-O4+V4-U4+Y4-X4+AB4-AA4</f>
        <v>0.03754629629629627</v>
      </c>
      <c r="F4" s="25">
        <f>(1-COUNT(O4))*'штрафы-карточка'!$B$4+(4-COUNT(T4,U4,X4,AA4))*'штрафы-карточка'!$B$5+(4-COUNT(Q4,W4,Z4,AC4))*'штрафы-карточка'!$B$3</f>
        <v>0</v>
      </c>
      <c r="G4" s="26">
        <f>VLOOKUP(C4,'штрафы-карточка'!$E$2:$L$300,2,FALSE)</f>
        <v>0</v>
      </c>
      <c r="H4" s="26">
        <f>VLOOKUP(C4,'штрафы-карточка'!$E$2:$L$300,3,FALSE)</f>
        <v>0</v>
      </c>
      <c r="I4" s="26">
        <f>VLOOKUP(C4,'штрафы-карточка'!$E$2:$L$300,4,FALSE)</f>
        <v>0</v>
      </c>
      <c r="J4" s="26">
        <f>VLOOKUP(C4,'штрафы-карточка'!$E$2:$L$300,5,FALSE)</f>
        <v>0</v>
      </c>
      <c r="K4" s="26">
        <f>VLOOKUP(C4,'штрафы-карточка'!$E$2:$L$300,6,FALSE)</f>
        <v>0</v>
      </c>
      <c r="L4" s="26">
        <f>VLOOKUP(C4,'штрафы-карточка'!$E$2:$L$300,7,FALSE)</f>
        <v>0</v>
      </c>
      <c r="M4" s="26">
        <f>VLOOKUP(C4,'штрафы-карточка'!$E$2:$L$300,8,FALSE)</f>
        <v>0</v>
      </c>
      <c r="N4" s="61">
        <f aca="true" t="shared" si="1" ref="N4:N20">D4-E4+TIME(0,F4,0)+TIME(0,SUM(G4:M4),0)</f>
        <v>0.09637731481481485</v>
      </c>
      <c r="O4" s="49">
        <v>0.03471064814814815</v>
      </c>
      <c r="P4" s="49">
        <v>0.05170138888888889</v>
      </c>
      <c r="Q4" s="49">
        <v>0.05516203703703704</v>
      </c>
      <c r="R4" s="57">
        <v>0.02442129629629629</v>
      </c>
      <c r="S4" s="57">
        <v>0.029236111111111112</v>
      </c>
      <c r="T4" s="49">
        <v>0.02119212962962963</v>
      </c>
      <c r="U4" s="57">
        <v>0.12179398148148148</v>
      </c>
      <c r="V4" s="57">
        <v>0.12337962962962963</v>
      </c>
      <c r="W4" s="57">
        <v>0.12583333333333332</v>
      </c>
      <c r="X4" s="49">
        <v>0.1280324074074074</v>
      </c>
      <c r="Y4" s="49">
        <v>0.12877314814814814</v>
      </c>
      <c r="Z4" s="49">
        <v>0.13084490740740742</v>
      </c>
      <c r="AA4" s="57">
        <v>0.08512731481481482</v>
      </c>
      <c r="AB4" s="57">
        <v>0.10335648148148148</v>
      </c>
      <c r="AC4" s="57">
        <v>0.11887731481481482</v>
      </c>
    </row>
    <row r="5" spans="1:29" ht="13.5">
      <c r="A5" s="72">
        <v>2</v>
      </c>
      <c r="B5" s="22" t="s">
        <v>520</v>
      </c>
      <c r="C5" s="23" t="s">
        <v>203</v>
      </c>
      <c r="D5" s="23" t="s">
        <v>521</v>
      </c>
      <c r="E5" s="24">
        <f t="shared" si="0"/>
        <v>0.016030092592592582</v>
      </c>
      <c r="F5" s="25">
        <f>(1-COUNT(O5))*'штрафы-карточка'!$B$4+(4-COUNT(T5,U5,X5,AA5))*'штрафы-карточка'!$B$5+(4-COUNT(Q5,W5,Z5,AC5))*'штрафы-карточка'!$B$3</f>
        <v>0</v>
      </c>
      <c r="G5" s="26">
        <f>VLOOKUP(C5,'штрафы-карточка'!$E$2:$L$300,2,FALSE)</f>
        <v>0</v>
      </c>
      <c r="H5" s="26">
        <f>VLOOKUP(C5,'штрафы-карточка'!$E$2:$L$300,3,FALSE)</f>
        <v>0</v>
      </c>
      <c r="I5" s="26">
        <f>VLOOKUP(C5,'штрафы-карточка'!$E$2:$L$300,4,FALSE)</f>
        <v>0</v>
      </c>
      <c r="J5" s="26">
        <f>VLOOKUP(C5,'штрафы-карточка'!$E$2:$L$300,5,FALSE)</f>
        <v>0</v>
      </c>
      <c r="K5" s="26">
        <f>VLOOKUP(C5,'штрафы-карточка'!$E$2:$L$300,6,FALSE)</f>
        <v>0</v>
      </c>
      <c r="L5" s="26">
        <f>VLOOKUP(C5,'штрафы-карточка'!$E$2:$L$300,7,FALSE)</f>
        <v>0</v>
      </c>
      <c r="M5" s="26">
        <f>VLOOKUP(C5,'штрафы-карточка'!$E$2:$L$300,8,FALSE)</f>
        <v>0</v>
      </c>
      <c r="N5" s="61">
        <f t="shared" si="1"/>
        <v>0.09696759259259262</v>
      </c>
      <c r="O5" s="49">
        <v>0.04384259259259259</v>
      </c>
      <c r="P5" s="49">
        <v>0.058912037037037034</v>
      </c>
      <c r="Q5" s="49">
        <v>0.06052083333333333</v>
      </c>
      <c r="R5" s="73">
        <v>0.03665509259259259</v>
      </c>
      <c r="S5" s="73">
        <v>0.037245370370370366</v>
      </c>
      <c r="T5" s="49">
        <v>0.0665625</v>
      </c>
      <c r="U5" s="57">
        <v>0.08591435185185185</v>
      </c>
      <c r="V5" s="57">
        <v>0.086875</v>
      </c>
      <c r="W5" s="57">
        <v>0.08849537037037036</v>
      </c>
      <c r="X5" s="49">
        <v>0.09152777777777778</v>
      </c>
      <c r="Y5" s="49">
        <v>0.09152777777777778</v>
      </c>
      <c r="Z5" s="49">
        <v>0.09428240740740741</v>
      </c>
      <c r="AA5" s="57">
        <v>0.10181712962962963</v>
      </c>
      <c r="AB5" s="57">
        <v>0.10181712962962963</v>
      </c>
      <c r="AC5" s="57">
        <v>0.10982638888888889</v>
      </c>
    </row>
    <row r="6" spans="1:29" ht="13.5">
      <c r="A6" s="72">
        <v>3</v>
      </c>
      <c r="B6" s="22" t="s">
        <v>522</v>
      </c>
      <c r="C6" s="23" t="s">
        <v>208</v>
      </c>
      <c r="D6" s="23" t="s">
        <v>523</v>
      </c>
      <c r="E6" s="24">
        <f t="shared" si="0"/>
        <v>0.013113425925925931</v>
      </c>
      <c r="F6" s="25">
        <f>(1-COUNT(O6))*'штрафы-карточка'!$B$4+(4-COUNT(T6,U6,X6,AA6))*'штрафы-карточка'!$B$5+(4-COUNT(Q6,W6,Z6,AC6))*'штрафы-карточка'!$B$3</f>
        <v>0</v>
      </c>
      <c r="G6" s="26">
        <f>VLOOKUP(C6,'штрафы-карточка'!$E$2:$L$300,2,FALSE)</f>
        <v>0</v>
      </c>
      <c r="H6" s="26">
        <f>VLOOKUP(C6,'штрафы-карточка'!$E$2:$L$300,3,FALSE)</f>
        <v>0</v>
      </c>
      <c r="I6" s="26">
        <f>VLOOKUP(C6,'штрафы-карточка'!$E$2:$L$300,4,FALSE)</f>
        <v>0</v>
      </c>
      <c r="J6" s="26">
        <f>VLOOKUP(C6,'штрафы-карточка'!$E$2:$L$300,5,FALSE)</f>
        <v>0</v>
      </c>
      <c r="K6" s="26">
        <f>VLOOKUP(C6,'штрафы-карточка'!$E$2:$L$300,6,FALSE)</f>
        <v>0</v>
      </c>
      <c r="L6" s="26">
        <f>VLOOKUP(C6,'штрафы-карточка'!$E$2:$L$300,7,FALSE)</f>
        <v>0</v>
      </c>
      <c r="M6" s="26">
        <f>VLOOKUP(C6,'штрафы-карточка'!$E$2:$L$300,8,FALSE)</f>
        <v>0</v>
      </c>
      <c r="N6" s="61">
        <f t="shared" si="1"/>
        <v>0.09706018518518518</v>
      </c>
      <c r="O6" s="49">
        <v>0.0347337962962963</v>
      </c>
      <c r="P6" s="49">
        <v>0.04649305555555555</v>
      </c>
      <c r="Q6" s="49">
        <v>0.04853009259259259</v>
      </c>
      <c r="R6" s="57">
        <v>0.021909722222222223</v>
      </c>
      <c r="S6" s="57"/>
      <c r="T6" s="49">
        <v>0.018969907407407408</v>
      </c>
      <c r="U6" s="57">
        <v>0.10317129629629629</v>
      </c>
      <c r="V6" s="57">
        <v>0.10452546296296296</v>
      </c>
      <c r="W6" s="57">
        <v>0.10659722222222223</v>
      </c>
      <c r="X6" s="49">
        <v>0.07579861111111111</v>
      </c>
      <c r="Y6" s="49">
        <v>0.07579861111111111</v>
      </c>
      <c r="Z6" s="49">
        <v>0.07856481481481481</v>
      </c>
      <c r="AA6" s="57">
        <v>0.0740625</v>
      </c>
      <c r="AB6" s="57">
        <v>0.0740625</v>
      </c>
      <c r="AC6" s="57">
        <v>0.10174768518518518</v>
      </c>
    </row>
    <row r="7" spans="1:29" ht="13.5">
      <c r="A7" s="71">
        <v>4</v>
      </c>
      <c r="B7" s="22" t="s">
        <v>534</v>
      </c>
      <c r="C7" s="23" t="s">
        <v>215</v>
      </c>
      <c r="D7" s="23" t="s">
        <v>535</v>
      </c>
      <c r="E7" s="24">
        <f t="shared" si="0"/>
        <v>0.013564814814814835</v>
      </c>
      <c r="F7" s="25">
        <f>(1-COUNT(O7))*'штрафы-карточка'!$B$4+(4-COUNT(T7,U7,X7,AA7))*'штрафы-карточка'!$B$5+(4-COUNT(Q7,W7,Z7,AC7))*'штрафы-карточка'!$B$3</f>
        <v>0</v>
      </c>
      <c r="G7" s="26">
        <f>VLOOKUP(C7,'штрафы-карточка'!$E$2:$L$300,2,FALSE)</f>
        <v>0</v>
      </c>
      <c r="H7" s="26">
        <f>VLOOKUP(C7,'штрафы-карточка'!$E$2:$L$300,3,FALSE)</f>
        <v>0</v>
      </c>
      <c r="I7" s="26">
        <f>VLOOKUP(C7,'штрафы-карточка'!$E$2:$L$300,4,FALSE)</f>
        <v>0</v>
      </c>
      <c r="J7" s="26">
        <f>VLOOKUP(C7,'штрафы-карточка'!$E$2:$L$300,5,FALSE)</f>
        <v>0</v>
      </c>
      <c r="K7" s="26">
        <f>VLOOKUP(C7,'штрафы-карточка'!$E$2:$L$300,6,FALSE)</f>
        <v>0</v>
      </c>
      <c r="L7" s="26">
        <f>VLOOKUP(C7,'штрафы-карточка'!$E$2:$L$300,7,FALSE)</f>
        <v>0</v>
      </c>
      <c r="M7" s="26">
        <f>VLOOKUP(C7,'штрафы-карточка'!$E$2:$L$300,8,FALSE)</f>
        <v>0</v>
      </c>
      <c r="N7" s="61">
        <f t="shared" si="1"/>
        <v>0.1071296296296296</v>
      </c>
      <c r="O7" s="49">
        <v>0.031782407407407405</v>
      </c>
      <c r="P7" s="49">
        <v>0.04134259259259259</v>
      </c>
      <c r="Q7" s="49">
        <v>0.045254629629629624</v>
      </c>
      <c r="R7" s="57">
        <v>0.052256944444444446</v>
      </c>
      <c r="S7" s="57">
        <v>0.05721064814814814</v>
      </c>
      <c r="T7" s="68">
        <v>0.04861111111111111</v>
      </c>
      <c r="U7" s="57">
        <v>0.10150462962962963</v>
      </c>
      <c r="V7" s="57">
        <v>0.10334490740740741</v>
      </c>
      <c r="W7" s="57">
        <v>0.10559027777777778</v>
      </c>
      <c r="X7" s="49">
        <v>0.10905092592592593</v>
      </c>
      <c r="Y7" s="49">
        <v>0.10905092592592593</v>
      </c>
      <c r="Z7" s="49">
        <v>0.11302083333333333</v>
      </c>
      <c r="AA7" s="57">
        <v>0.08225694444444444</v>
      </c>
      <c r="AB7" s="57">
        <v>0.0844212962962963</v>
      </c>
      <c r="AC7" s="57">
        <v>0.09918981481481481</v>
      </c>
    </row>
    <row r="8" spans="1:29" ht="13.5">
      <c r="A8" s="71">
        <v>5</v>
      </c>
      <c r="B8" s="22" t="s">
        <v>536</v>
      </c>
      <c r="C8" s="23" t="s">
        <v>213</v>
      </c>
      <c r="D8" s="23" t="s">
        <v>537</v>
      </c>
      <c r="E8" s="24">
        <f t="shared" si="0"/>
        <v>0.018449074074074076</v>
      </c>
      <c r="F8" s="25">
        <f>(1-COUNT(O8))*'штрафы-карточка'!$B$4+(4-COUNT(T8,U8,X8,AA8))*'штрафы-карточка'!$B$5+(4-COUNT(Q8,W8,Z8,AC8))*'штрафы-карточка'!$B$3</f>
        <v>0</v>
      </c>
      <c r="G8" s="26">
        <f>VLOOKUP(C8,'штрафы-карточка'!$E$2:$L$300,2,FALSE)</f>
        <v>0</v>
      </c>
      <c r="H8" s="26">
        <f>VLOOKUP(C8,'штрафы-карточка'!$E$2:$L$300,3,FALSE)</f>
        <v>0</v>
      </c>
      <c r="I8" s="26">
        <f>VLOOKUP(C8,'штрафы-карточка'!$E$2:$L$300,4,FALSE)</f>
        <v>0</v>
      </c>
      <c r="J8" s="26">
        <f>VLOOKUP(C8,'штрафы-карточка'!$E$2:$L$300,5,FALSE)</f>
        <v>0</v>
      </c>
      <c r="K8" s="26">
        <f>VLOOKUP(C8,'штрафы-карточка'!$E$2:$L$300,6,FALSE)</f>
        <v>0</v>
      </c>
      <c r="L8" s="26">
        <f>VLOOKUP(C8,'штрафы-карточка'!$E$2:$L$300,7,FALSE)</f>
        <v>0</v>
      </c>
      <c r="M8" s="26">
        <f>VLOOKUP(C8,'штрафы-карточка'!$E$2:$L$300,8,FALSE)</f>
        <v>0</v>
      </c>
      <c r="N8" s="61">
        <f t="shared" si="1"/>
        <v>0.10778935185185186</v>
      </c>
      <c r="O8" s="49">
        <v>0.059340277777777777</v>
      </c>
      <c r="P8" s="49">
        <v>0.06467592592592593</v>
      </c>
      <c r="Q8" s="49">
        <v>0.06678240740740742</v>
      </c>
      <c r="R8" s="57">
        <v>0.04696759259259259</v>
      </c>
      <c r="S8" s="57">
        <v>0.05346064814814815</v>
      </c>
      <c r="T8" s="68">
        <v>0.04861111111111111</v>
      </c>
      <c r="U8" s="57">
        <v>0.0030324074074074073</v>
      </c>
      <c r="V8" s="57">
        <v>0.0030324074074074073</v>
      </c>
      <c r="W8" s="57">
        <v>0.007476851851851853</v>
      </c>
      <c r="X8" s="49">
        <v>0.011712962962962965</v>
      </c>
      <c r="Y8" s="49">
        <v>0.011712962962962965</v>
      </c>
      <c r="Z8" s="49">
        <v>0.01545138888888889</v>
      </c>
      <c r="AA8" s="57">
        <v>0.09131944444444445</v>
      </c>
      <c r="AB8" s="57">
        <v>0.10443287037037037</v>
      </c>
      <c r="AC8" s="57">
        <v>0.12322916666666667</v>
      </c>
    </row>
    <row r="9" spans="1:29" ht="13.5">
      <c r="A9" s="71">
        <v>6</v>
      </c>
      <c r="B9" s="22" t="s">
        <v>524</v>
      </c>
      <c r="C9" s="23" t="s">
        <v>216</v>
      </c>
      <c r="D9" s="23" t="s">
        <v>525</v>
      </c>
      <c r="E9" s="24">
        <f t="shared" si="0"/>
        <v>0.021481481481481476</v>
      </c>
      <c r="F9" s="25">
        <f>(1-COUNT(O9))*'штрафы-карточка'!$B$4+(4-COUNT(T9,U9,X9,AA9))*'штрафы-карточка'!$B$5+(4-COUNT(Q9,W9,Z9,AC9))*'штрафы-карточка'!$B$3</f>
        <v>0</v>
      </c>
      <c r="G9" s="26">
        <f>VLOOKUP(C9,'штрафы-карточка'!$E$2:$L$300,2,FALSE)</f>
        <v>0</v>
      </c>
      <c r="H9" s="26">
        <f>VLOOKUP(C9,'штрафы-карточка'!$E$2:$L$300,3,FALSE)</f>
        <v>0</v>
      </c>
      <c r="I9" s="26">
        <f>VLOOKUP(C9,'штрафы-карточка'!$E$2:$L$300,4,FALSE)</f>
        <v>0</v>
      </c>
      <c r="J9" s="26">
        <f>VLOOKUP(C9,'штрафы-карточка'!$E$2:$L$300,5,FALSE)</f>
        <v>0</v>
      </c>
      <c r="K9" s="26">
        <f>VLOOKUP(C9,'штрафы-карточка'!$E$2:$L$300,6,FALSE)</f>
        <v>0</v>
      </c>
      <c r="L9" s="26">
        <f>VLOOKUP(C9,'штрафы-карточка'!$E$2:$L$300,7,FALSE)</f>
        <v>0</v>
      </c>
      <c r="M9" s="26">
        <f>VLOOKUP(C9,'штрафы-карточка'!$E$2:$L$300,8,FALSE)</f>
        <v>0</v>
      </c>
      <c r="N9" s="61">
        <f t="shared" si="1"/>
        <v>0.1122337962962963</v>
      </c>
      <c r="O9" s="49">
        <v>0.04378472222222222</v>
      </c>
      <c r="P9" s="49">
        <v>0.04711805555555556</v>
      </c>
      <c r="Q9" s="49">
        <v>0.04887731481481481</v>
      </c>
      <c r="R9" s="57">
        <v>0.031145833333333334</v>
      </c>
      <c r="S9" s="57">
        <v>0.03967592592592593</v>
      </c>
      <c r="T9" s="49">
        <v>0.06119212962962963</v>
      </c>
      <c r="U9" s="57">
        <v>0.12259259259259259</v>
      </c>
      <c r="V9" s="57">
        <v>0.12510416666666666</v>
      </c>
      <c r="W9" s="57">
        <v>0.1278587962962963</v>
      </c>
      <c r="X9" s="49">
        <v>0.1155324074074074</v>
      </c>
      <c r="Y9" s="49">
        <v>0.1155324074074074</v>
      </c>
      <c r="Z9" s="49">
        <v>0.11972222222222222</v>
      </c>
      <c r="AA9" s="57">
        <v>0.08399305555555554</v>
      </c>
      <c r="AB9" s="57">
        <v>0.09962962962962962</v>
      </c>
      <c r="AC9" s="57">
        <v>0.11259259259259259</v>
      </c>
    </row>
    <row r="10" spans="1:29" ht="13.5">
      <c r="A10" s="71">
        <v>7</v>
      </c>
      <c r="B10" s="22" t="s">
        <v>526</v>
      </c>
      <c r="C10" s="23" t="s">
        <v>202</v>
      </c>
      <c r="D10" s="23" t="s">
        <v>527</v>
      </c>
      <c r="E10" s="24">
        <f t="shared" si="0"/>
        <v>0.026655092592592564</v>
      </c>
      <c r="F10" s="25">
        <f>(1-COUNT(O10))*'штрафы-карточка'!$B$4+(4-COUNT(T10,U10,X10,AA10))*'штрафы-карточка'!$B$5+(4-COUNT(Q10,W10,Z10,AC10))*'штрафы-карточка'!$B$3</f>
        <v>0</v>
      </c>
      <c r="G10" s="26">
        <f>VLOOKUP(C10,'штрафы-карточка'!$E$2:$L$300,2,FALSE)</f>
        <v>0</v>
      </c>
      <c r="H10" s="26">
        <f>VLOOKUP(C10,'штрафы-карточка'!$E$2:$L$300,3,FALSE)</f>
        <v>0</v>
      </c>
      <c r="I10" s="26">
        <f>VLOOKUP(C10,'штрафы-карточка'!$E$2:$L$300,4,FALSE)</f>
        <v>0</v>
      </c>
      <c r="J10" s="26">
        <f>VLOOKUP(C10,'штрафы-карточка'!$E$2:$L$300,5,FALSE)</f>
        <v>0</v>
      </c>
      <c r="K10" s="26">
        <f>VLOOKUP(C10,'штрафы-карточка'!$E$2:$L$300,6,FALSE)</f>
        <v>0</v>
      </c>
      <c r="L10" s="26">
        <f>VLOOKUP(C10,'штрафы-карточка'!$E$2:$L$300,7,FALSE)</f>
        <v>0</v>
      </c>
      <c r="M10" s="26">
        <f>VLOOKUP(C10,'штрафы-карточка'!$E$2:$L$300,8,FALSE)</f>
        <v>0</v>
      </c>
      <c r="N10" s="61">
        <f t="shared" si="1"/>
        <v>0.11223379629629633</v>
      </c>
      <c r="O10" s="49">
        <v>0.04675925925925926</v>
      </c>
      <c r="P10" s="49">
        <v>0.06002314814814815</v>
      </c>
      <c r="Q10" s="49">
        <v>0.06206018518518519</v>
      </c>
      <c r="R10" s="57">
        <v>0.02625</v>
      </c>
      <c r="S10" s="57">
        <v>0.043333333333333335</v>
      </c>
      <c r="T10" s="49">
        <v>0.02290509259259259</v>
      </c>
      <c r="U10" s="57">
        <v>0.13069444444444445</v>
      </c>
      <c r="V10" s="57">
        <v>0.13278935185185184</v>
      </c>
      <c r="W10" s="57">
        <v>0.13488425925925926</v>
      </c>
      <c r="X10" s="49">
        <v>0.12399305555555555</v>
      </c>
      <c r="Y10" s="49">
        <v>0.12618055555555555</v>
      </c>
      <c r="Z10" s="49">
        <v>0.12854166666666667</v>
      </c>
      <c r="AA10" s="57">
        <v>0.096875</v>
      </c>
      <c r="AB10" s="57">
        <v>0.1059837962962963</v>
      </c>
      <c r="AC10" s="57">
        <v>0.12013888888888889</v>
      </c>
    </row>
    <row r="11" spans="1:29" s="20" customFormat="1" ht="13.5">
      <c r="A11" s="71">
        <v>8</v>
      </c>
      <c r="B11" s="22" t="s">
        <v>528</v>
      </c>
      <c r="C11" s="23" t="s">
        <v>204</v>
      </c>
      <c r="D11" s="23" t="s">
        <v>529</v>
      </c>
      <c r="E11" s="24">
        <f t="shared" si="0"/>
        <v>0.013078703703703676</v>
      </c>
      <c r="F11" s="25">
        <f>(1-COUNT(O11))*'штрафы-карточка'!$B$4+(4-COUNT(T11,U11,X11,AA11))*'штрафы-карточка'!$B$5+(4-COUNT(Q11,W11,Z11,AC11))*'штрафы-карточка'!$B$3</f>
        <v>0</v>
      </c>
      <c r="G11" s="26">
        <f>VLOOKUP(C11,'штрафы-карточка'!$E$2:$L$300,2,FALSE)</f>
        <v>0</v>
      </c>
      <c r="H11" s="26">
        <f>VLOOKUP(C11,'штрафы-карточка'!$E$2:$L$300,3,FALSE)</f>
        <v>0</v>
      </c>
      <c r="I11" s="26">
        <f>VLOOKUP(C11,'штрафы-карточка'!$E$2:$L$300,4,FALSE)</f>
        <v>0</v>
      </c>
      <c r="J11" s="26">
        <f>VLOOKUP(C11,'штрафы-карточка'!$E$2:$L$300,5,FALSE)</f>
        <v>0</v>
      </c>
      <c r="K11" s="26">
        <f>VLOOKUP(C11,'штрафы-карточка'!$E$2:$L$300,6,FALSE)</f>
        <v>0</v>
      </c>
      <c r="L11" s="26">
        <f>VLOOKUP(C11,'штрафы-карточка'!$E$2:$L$300,7,FALSE)</f>
        <v>0</v>
      </c>
      <c r="M11" s="26">
        <f>VLOOKUP(C11,'штрафы-карточка'!$E$2:$L$300,8,FALSE)</f>
        <v>0</v>
      </c>
      <c r="N11" s="61">
        <f t="shared" si="1"/>
        <v>0.12122685185185186</v>
      </c>
      <c r="O11" s="49">
        <v>0.05983796296296296</v>
      </c>
      <c r="P11" s="49">
        <v>0.06449074074074074</v>
      </c>
      <c r="Q11" s="49">
        <v>0.06585648148148149</v>
      </c>
      <c r="R11" s="57">
        <v>0.04554398148148148</v>
      </c>
      <c r="S11" s="57">
        <v>0.05599537037037037</v>
      </c>
      <c r="T11" s="49">
        <v>0.03820601851851852</v>
      </c>
      <c r="U11" s="57">
        <v>0.08854166666666667</v>
      </c>
      <c r="V11" s="57">
        <v>0.0895949074074074</v>
      </c>
      <c r="W11" s="57">
        <v>0.09195601851851852</v>
      </c>
      <c r="X11" s="49">
        <v>0.0956712962962963</v>
      </c>
      <c r="Y11" s="49">
        <v>0.0956712962962963</v>
      </c>
      <c r="Z11" s="49">
        <v>0.09935185185185186</v>
      </c>
      <c r="AA11" s="57">
        <v>0.10030092592592593</v>
      </c>
      <c r="AB11" s="57">
        <v>0.10767361111111111</v>
      </c>
      <c r="AC11" s="57">
        <v>0.12921296296296295</v>
      </c>
    </row>
    <row r="12" spans="1:29" ht="13.5">
      <c r="A12" s="71">
        <v>9</v>
      </c>
      <c r="B12" s="22" t="s">
        <v>530</v>
      </c>
      <c r="C12" s="23" t="s">
        <v>212</v>
      </c>
      <c r="D12" s="23" t="s">
        <v>531</v>
      </c>
      <c r="E12" s="24">
        <f t="shared" si="0"/>
        <v>0.029398148148148173</v>
      </c>
      <c r="F12" s="25">
        <f>(1-COUNT(O12))*'штрафы-карточка'!$B$4+(4-COUNT(T12,U12,X12,AA12))*'штрафы-карточка'!$B$5+(4-COUNT(Q12,W12,Z12,AC12))*'штрафы-карточка'!$B$3</f>
        <v>0</v>
      </c>
      <c r="G12" s="26">
        <f>VLOOKUP(C12,'штрафы-карточка'!$E$2:$L$300,2,FALSE)</f>
        <v>0</v>
      </c>
      <c r="H12" s="26">
        <f>VLOOKUP(C12,'штрафы-карточка'!$E$2:$L$300,3,FALSE)</f>
        <v>0</v>
      </c>
      <c r="I12" s="26">
        <f>VLOOKUP(C12,'штрафы-карточка'!$E$2:$L$300,4,FALSE)</f>
        <v>0</v>
      </c>
      <c r="J12" s="26">
        <f>VLOOKUP(C12,'штрафы-карточка'!$E$2:$L$300,5,FALSE)</f>
        <v>0</v>
      </c>
      <c r="K12" s="26">
        <f>VLOOKUP(C12,'штрафы-карточка'!$E$2:$L$300,6,FALSE)</f>
        <v>0</v>
      </c>
      <c r="L12" s="26">
        <f>VLOOKUP(C12,'штрафы-карточка'!$E$2:$L$300,7,FALSE)</f>
        <v>0</v>
      </c>
      <c r="M12" s="26">
        <f>VLOOKUP(C12,'штрафы-карточка'!$E$2:$L$300,8,FALSE)</f>
        <v>0</v>
      </c>
      <c r="N12" s="61">
        <f t="shared" si="1"/>
        <v>0.12533564814814813</v>
      </c>
      <c r="O12" s="49">
        <v>0.03678240740740741</v>
      </c>
      <c r="P12" s="49">
        <v>0.05576388888888889</v>
      </c>
      <c r="Q12" s="49">
        <v>0.05940972222222222</v>
      </c>
      <c r="R12" s="57">
        <v>0.024652777777777777</v>
      </c>
      <c r="S12" s="57">
        <v>0.03351851851851852</v>
      </c>
      <c r="T12" s="49">
        <v>0.020601851851851854</v>
      </c>
      <c r="U12" s="57">
        <v>0.13885416666666667</v>
      </c>
      <c r="V12" s="57">
        <v>0.14092592592592593</v>
      </c>
      <c r="W12" s="57">
        <v>0.14304398148148148</v>
      </c>
      <c r="X12" s="49">
        <v>0.14635416666666667</v>
      </c>
      <c r="Y12" s="49">
        <v>0.14635416666666667</v>
      </c>
      <c r="Z12" s="49">
        <v>0.15074074074074076</v>
      </c>
      <c r="AA12" s="57">
        <v>0.10032407407407407</v>
      </c>
      <c r="AB12" s="57">
        <v>0.10866898148148148</v>
      </c>
      <c r="AC12" s="57">
        <v>0.13689814814814816</v>
      </c>
    </row>
    <row r="13" spans="1:29" ht="13.5">
      <c r="A13" s="71">
        <v>10</v>
      </c>
      <c r="B13" s="22" t="s">
        <v>532</v>
      </c>
      <c r="C13" s="23" t="s">
        <v>220</v>
      </c>
      <c r="D13" s="23" t="s">
        <v>533</v>
      </c>
      <c r="E13" s="24">
        <f t="shared" si="0"/>
        <v>0.02793981481481482</v>
      </c>
      <c r="F13" s="25">
        <f>(1-COUNT(O13))*'штрафы-карточка'!$B$4+(4-COUNT(T13,U13,X13,AA13))*'штрафы-карточка'!$B$5+(4-COUNT(Q13,W13,Z13,AC13))*'штрафы-карточка'!$B$3</f>
        <v>0</v>
      </c>
      <c r="G13" s="26">
        <f>VLOOKUP(C13,'штрафы-карточка'!$E$2:$L$300,2,FALSE)</f>
        <v>0</v>
      </c>
      <c r="H13" s="26">
        <f>VLOOKUP(C13,'штрафы-карточка'!$E$2:$L$300,3,FALSE)</f>
        <v>0</v>
      </c>
      <c r="I13" s="26">
        <f>VLOOKUP(C13,'штрафы-карточка'!$E$2:$L$300,4,FALSE)</f>
        <v>0</v>
      </c>
      <c r="J13" s="26">
        <f>VLOOKUP(C13,'штрафы-карточка'!$E$2:$L$300,5,FALSE)</f>
        <v>0</v>
      </c>
      <c r="K13" s="26">
        <f>VLOOKUP(C13,'штрафы-карточка'!$E$2:$L$300,6,FALSE)</f>
        <v>0</v>
      </c>
      <c r="L13" s="26">
        <f>VLOOKUP(C13,'штрафы-карточка'!$E$2:$L$300,7,FALSE)</f>
        <v>0</v>
      </c>
      <c r="M13" s="26">
        <f>VLOOKUP(C13,'штрафы-карточка'!$E$2:$L$300,8,FALSE)</f>
        <v>0</v>
      </c>
      <c r="N13" s="61">
        <f t="shared" si="1"/>
        <v>0.12747685185185187</v>
      </c>
      <c r="O13" s="49">
        <v>0.04943287037037037</v>
      </c>
      <c r="P13" s="49">
        <v>0.06063657407407408</v>
      </c>
      <c r="Q13" s="49">
        <v>0.06185185185185185</v>
      </c>
      <c r="R13" s="57">
        <v>0.026446759259259264</v>
      </c>
      <c r="S13" s="57">
        <v>0.037800925925925925</v>
      </c>
      <c r="T13" s="49">
        <v>0.022199074074074076</v>
      </c>
      <c r="U13" s="57">
        <v>0.13887731481481483</v>
      </c>
      <c r="V13" s="57">
        <v>0.14168981481481482</v>
      </c>
      <c r="W13" s="57">
        <v>0.14318287037037036</v>
      </c>
      <c r="X13" s="49">
        <v>0.14655092592592592</v>
      </c>
      <c r="Y13" s="49">
        <v>0.14898148148148146</v>
      </c>
      <c r="Z13" s="49">
        <v>0.1514236111111111</v>
      </c>
      <c r="AA13" s="57">
        <v>0.10116898148148147</v>
      </c>
      <c r="AB13" s="57">
        <v>0.11266203703703703</v>
      </c>
      <c r="AC13" s="57">
        <v>0.13711805555555556</v>
      </c>
    </row>
    <row r="14" spans="1:29" ht="13.5">
      <c r="A14" s="71">
        <v>11</v>
      </c>
      <c r="B14" s="22" t="s">
        <v>538</v>
      </c>
      <c r="C14" s="23" t="s">
        <v>209</v>
      </c>
      <c r="D14" s="23" t="s">
        <v>539</v>
      </c>
      <c r="E14" s="24">
        <f t="shared" si="0"/>
        <v>0.00765046296296297</v>
      </c>
      <c r="F14" s="25">
        <f>(1-COUNT(O14))*'штрафы-карточка'!$B$4+(4-COUNT(T14,U14,X14,AA14))*'штрафы-карточка'!$B$5+(4-COUNT(Q14,W14,Z14,AC14))*'штрафы-карточка'!$B$3</f>
        <v>0</v>
      </c>
      <c r="G14" s="26">
        <f>VLOOKUP(C14,'штрафы-карточка'!$E$2:$L$300,2,FALSE)</f>
        <v>0</v>
      </c>
      <c r="H14" s="26">
        <f>VLOOKUP(C14,'штрафы-карточка'!$E$2:$L$300,3,FALSE)</f>
        <v>0</v>
      </c>
      <c r="I14" s="26">
        <f>VLOOKUP(C14,'штрафы-карточка'!$E$2:$L$300,4,FALSE)</f>
        <v>0</v>
      </c>
      <c r="J14" s="26">
        <f>VLOOKUP(C14,'штрафы-карточка'!$E$2:$L$300,5,FALSE)</f>
        <v>0</v>
      </c>
      <c r="K14" s="26">
        <f>VLOOKUP(C14,'штрафы-карточка'!$E$2:$L$300,6,FALSE)</f>
        <v>0</v>
      </c>
      <c r="L14" s="26">
        <f>VLOOKUP(C14,'штрафы-карточка'!$E$2:$L$300,7,FALSE)</f>
        <v>0</v>
      </c>
      <c r="M14" s="26">
        <f>VLOOKUP(C14,'штрафы-карточка'!$E$2:$L$300,8,FALSE)</f>
        <v>0</v>
      </c>
      <c r="N14" s="61">
        <f t="shared" si="1"/>
        <v>0.14164351851851853</v>
      </c>
      <c r="O14" s="49">
        <v>0.05868055555555555</v>
      </c>
      <c r="P14" s="49">
        <v>0.0633449074074074</v>
      </c>
      <c r="Q14" s="49">
        <v>0.0649537037037037</v>
      </c>
      <c r="R14" s="57">
        <v>0.045335648148148146</v>
      </c>
      <c r="S14" s="57">
        <v>0.05538194444444444</v>
      </c>
      <c r="T14" s="49">
        <v>0.07785879629629629</v>
      </c>
      <c r="U14" s="57">
        <v>0.10454861111111112</v>
      </c>
      <c r="V14" s="57">
        <v>0.10680555555555556</v>
      </c>
      <c r="W14" s="57">
        <v>0.1089699074074074</v>
      </c>
      <c r="X14" s="49">
        <v>0.11327546296296297</v>
      </c>
      <c r="Y14" s="49">
        <v>0.11327546296296297</v>
      </c>
      <c r="Z14" s="49">
        <v>0.11726851851851851</v>
      </c>
      <c r="AA14" s="57">
        <v>0.11858796296296296</v>
      </c>
      <c r="AB14" s="57">
        <v>0.11931712962962963</v>
      </c>
      <c r="AC14" s="57">
        <v>0.14313657407407407</v>
      </c>
    </row>
    <row r="15" spans="1:29" ht="13.5">
      <c r="A15" s="71">
        <v>12</v>
      </c>
      <c r="B15" s="22" t="s">
        <v>540</v>
      </c>
      <c r="C15" s="23" t="s">
        <v>219</v>
      </c>
      <c r="D15" s="23" t="s">
        <v>541</v>
      </c>
      <c r="E15" s="24">
        <f t="shared" si="0"/>
        <v>0.005486111111111122</v>
      </c>
      <c r="F15" s="25">
        <f>(1-COUNT(O15))*'штрафы-карточка'!$B$4+(4-COUNT(T15,U15,X15,AA15))*'штрафы-карточка'!$B$5+(4-COUNT(Q15,W15,Z15,AC15))*'штрафы-карточка'!$B$3</f>
        <v>0</v>
      </c>
      <c r="G15" s="26">
        <f>VLOOKUP(C15,'штрафы-карточка'!$E$2:$L$300,2,FALSE)</f>
        <v>0</v>
      </c>
      <c r="H15" s="26">
        <f>VLOOKUP(C15,'штрафы-карточка'!$E$2:$L$300,3,FALSE)</f>
        <v>0</v>
      </c>
      <c r="I15" s="26">
        <f>VLOOKUP(C15,'штрафы-карточка'!$E$2:$L$300,4,FALSE)</f>
        <v>0</v>
      </c>
      <c r="J15" s="26">
        <f>VLOOKUP(C15,'штрафы-карточка'!$E$2:$L$300,5,FALSE)</f>
        <v>0</v>
      </c>
      <c r="K15" s="26">
        <f>VLOOKUP(C15,'штрафы-карточка'!$E$2:$L$300,6,FALSE)</f>
        <v>0</v>
      </c>
      <c r="L15" s="26">
        <f>VLOOKUP(C15,'штрафы-карточка'!$E$2:$L$300,7,FALSE)</f>
        <v>0</v>
      </c>
      <c r="M15" s="26">
        <f>VLOOKUP(C15,'штрафы-карточка'!$E$2:$L$300,8,FALSE)</f>
        <v>0</v>
      </c>
      <c r="N15" s="61">
        <f t="shared" si="1"/>
        <v>0.1559259259259259</v>
      </c>
      <c r="O15" s="49">
        <v>0.062453703703703706</v>
      </c>
      <c r="P15" s="49">
        <v>0.062453703703703706</v>
      </c>
      <c r="Q15" s="49">
        <v>0.07237268518518519</v>
      </c>
      <c r="R15" s="57">
        <v>0.04145833333333333</v>
      </c>
      <c r="S15" s="57">
        <v>0.05371527777777777</v>
      </c>
      <c r="T15" s="49">
        <v>0.033136574074074075</v>
      </c>
      <c r="U15" s="57">
        <v>0.14314814814814816</v>
      </c>
      <c r="V15" s="57">
        <v>0.14475694444444445</v>
      </c>
      <c r="W15" s="57">
        <v>0.14704861111111112</v>
      </c>
      <c r="X15" s="49">
        <v>0.15090277777777777</v>
      </c>
      <c r="Y15" s="49">
        <v>0.1516550925925926</v>
      </c>
      <c r="Z15" s="49">
        <v>0.15599537037037037</v>
      </c>
      <c r="AA15" s="57">
        <v>0.11162037037037037</v>
      </c>
      <c r="AB15" s="57">
        <v>0.11474537037037037</v>
      </c>
      <c r="AC15" s="57">
        <v>0.14113425925925926</v>
      </c>
    </row>
    <row r="16" spans="1:29" ht="13.5">
      <c r="A16" s="71">
        <v>13</v>
      </c>
      <c r="B16" s="22" t="s">
        <v>550</v>
      </c>
      <c r="C16" s="23" t="s">
        <v>218</v>
      </c>
      <c r="D16" s="23" t="s">
        <v>551</v>
      </c>
      <c r="E16" s="24">
        <f t="shared" si="0"/>
        <v>0.0042245370370370405</v>
      </c>
      <c r="F16" s="25">
        <f>(1-COUNT(O16))*'штрафы-карточка'!$B$4+(4-COUNT(T16,U16,X16,AA16))*'штрафы-карточка'!$B$5+(4-COUNT(Q16,W16,Z16,AC16))*'штрафы-карточка'!$B$3</f>
        <v>0</v>
      </c>
      <c r="G16" s="26">
        <f>VLOOKUP(C16,'штрафы-карточка'!$E$2:$L$300,2,FALSE)</f>
        <v>0</v>
      </c>
      <c r="H16" s="26">
        <f>VLOOKUP(C16,'штрафы-карточка'!$E$2:$L$300,3,FALSE)</f>
        <v>0</v>
      </c>
      <c r="I16" s="26">
        <f>VLOOKUP(C16,'штрафы-карточка'!$E$2:$L$300,4,FALSE)</f>
        <v>0</v>
      </c>
      <c r="J16" s="26">
        <f>VLOOKUP(C16,'штрафы-карточка'!$E$2:$L$300,5,FALSE)</f>
        <v>0</v>
      </c>
      <c r="K16" s="26">
        <f>VLOOKUP(C16,'штрафы-карточка'!$E$2:$L$300,6,FALSE)</f>
        <v>0</v>
      </c>
      <c r="L16" s="26">
        <f>VLOOKUP(C16,'штрафы-карточка'!$E$2:$L$300,7,FALSE)</f>
        <v>0</v>
      </c>
      <c r="M16" s="26">
        <f>VLOOKUP(C16,'штрафы-карточка'!$E$2:$L$300,8,FALSE)</f>
        <v>0</v>
      </c>
      <c r="N16" s="61">
        <f t="shared" si="1"/>
        <v>0.16015046296296298</v>
      </c>
      <c r="O16" s="49">
        <v>0.06777777777777778</v>
      </c>
      <c r="P16" s="49">
        <v>0.06877314814814815</v>
      </c>
      <c r="Q16" s="49">
        <v>0.07175925925925926</v>
      </c>
      <c r="R16" s="57">
        <v>0.05186342592592593</v>
      </c>
      <c r="S16" s="57">
        <v>0.058541666666666665</v>
      </c>
      <c r="T16" s="68">
        <v>0.08472222222222221</v>
      </c>
      <c r="U16" s="67">
        <v>0.16666666666666666</v>
      </c>
      <c r="V16" s="67">
        <v>0.16666666666666666</v>
      </c>
      <c r="W16" s="67">
        <v>0.17013888888888887</v>
      </c>
      <c r="X16" s="49">
        <v>0.12207175925925927</v>
      </c>
      <c r="Y16" s="49">
        <v>0.12207175925925927</v>
      </c>
      <c r="Z16" s="49">
        <v>0.12621527777777777</v>
      </c>
      <c r="AA16" s="57">
        <v>0.12721064814814814</v>
      </c>
      <c r="AB16" s="57">
        <v>0.13043981481481481</v>
      </c>
      <c r="AC16" s="57">
        <v>0.1554398148148148</v>
      </c>
    </row>
    <row r="17" spans="1:29" ht="13.5">
      <c r="A17" s="71">
        <v>14</v>
      </c>
      <c r="B17" s="22" t="s">
        <v>542</v>
      </c>
      <c r="C17" s="23" t="s">
        <v>206</v>
      </c>
      <c r="D17" s="23" t="s">
        <v>543</v>
      </c>
      <c r="E17" s="24">
        <f t="shared" si="0"/>
        <v>0.01915509259259257</v>
      </c>
      <c r="F17" s="25">
        <f>(1-COUNT(O17))*'штрафы-карточка'!$B$4+(4-COUNT(T17,U17,X17,AA17))*'штрафы-карточка'!$B$5+(4-COUNT(Q17,W17,Z17,AC17))*'штрафы-карточка'!$B$3</f>
        <v>150</v>
      </c>
      <c r="G17" s="26">
        <f>VLOOKUP(C17,'штрафы-карточка'!$E$2:$L$300,2,FALSE)</f>
        <v>0</v>
      </c>
      <c r="H17" s="26">
        <f>VLOOKUP(C17,'штрафы-карточка'!$E$2:$L$300,3,FALSE)</f>
        <v>0</v>
      </c>
      <c r="I17" s="26">
        <f>VLOOKUP(C17,'штрафы-карточка'!$E$2:$L$300,4,FALSE)</f>
        <v>0</v>
      </c>
      <c r="J17" s="26">
        <f>VLOOKUP(C17,'штрафы-карточка'!$E$2:$L$300,5,FALSE)</f>
        <v>0</v>
      </c>
      <c r="K17" s="26">
        <f>VLOOKUP(C17,'штрафы-карточка'!$E$2:$L$300,6,FALSE)</f>
        <v>0</v>
      </c>
      <c r="L17" s="26">
        <f>VLOOKUP(C17,'штрафы-карточка'!$E$2:$L$300,7,FALSE)</f>
        <v>0</v>
      </c>
      <c r="M17" s="26">
        <f>VLOOKUP(C17,'штрафы-карточка'!$E$2:$L$300,8,FALSE)</f>
        <v>0</v>
      </c>
      <c r="N17" s="61">
        <f t="shared" si="1"/>
        <v>0.192962962962963</v>
      </c>
      <c r="O17" s="49">
        <v>0.034722222222222224</v>
      </c>
      <c r="P17" s="49">
        <v>0.04952546296296296</v>
      </c>
      <c r="Q17" s="49">
        <v>0.05275462962962963</v>
      </c>
      <c r="R17" s="67">
        <v>0.034722222222222224</v>
      </c>
      <c r="S17" s="67">
        <v>0.041666666666666664</v>
      </c>
      <c r="T17" s="49">
        <v>0.018993055555555558</v>
      </c>
      <c r="U17" s="57">
        <v>0.07525462962962963</v>
      </c>
      <c r="V17" s="57">
        <v>0.07672453703703704</v>
      </c>
      <c r="W17" s="57">
        <v>0.07819444444444444</v>
      </c>
      <c r="X17" s="49"/>
      <c r="Y17" s="49"/>
      <c r="Z17" s="49"/>
      <c r="AA17" s="57">
        <v>0.08150462962962964</v>
      </c>
      <c r="AB17" s="57">
        <v>0.08438657407407407</v>
      </c>
      <c r="AC17" s="57">
        <v>0.1037037037037037</v>
      </c>
    </row>
    <row r="18" spans="1:29" ht="13.5">
      <c r="A18" s="71">
        <v>15</v>
      </c>
      <c r="B18" s="22" t="s">
        <v>544</v>
      </c>
      <c r="C18" s="23" t="s">
        <v>217</v>
      </c>
      <c r="D18" s="23" t="s">
        <v>545</v>
      </c>
      <c r="E18" s="24">
        <f t="shared" si="0"/>
        <v>0.013136574074074106</v>
      </c>
      <c r="F18" s="25">
        <f>(1-COUNT(O18))*'штрафы-карточка'!$B$4+(4-COUNT(T18,U18,X18,AA18))*'штрафы-карточка'!$B$5+(4-COUNT(Q18,W18,Z18,AC18))*'штрафы-карточка'!$B$3</f>
        <v>150</v>
      </c>
      <c r="G18" s="26">
        <f>VLOOKUP(C18,'штрафы-карточка'!$E$2:$L$300,2,FALSE)</f>
        <v>0</v>
      </c>
      <c r="H18" s="26">
        <f>VLOOKUP(C18,'штрафы-карточка'!$E$2:$L$300,3,FALSE)</f>
        <v>0</v>
      </c>
      <c r="I18" s="26">
        <f>VLOOKUP(C18,'штрафы-карточка'!$E$2:$L$300,4,FALSE)</f>
        <v>0</v>
      </c>
      <c r="J18" s="26">
        <f>VLOOKUP(C18,'штрафы-карточка'!$E$2:$L$300,5,FALSE)</f>
        <v>0</v>
      </c>
      <c r="K18" s="26">
        <f>VLOOKUP(C18,'штрафы-карточка'!$E$2:$L$300,6,FALSE)</f>
        <v>0</v>
      </c>
      <c r="L18" s="26">
        <f>VLOOKUP(C18,'штрафы-карточка'!$E$2:$L$300,7,FALSE)</f>
        <v>0</v>
      </c>
      <c r="M18" s="26">
        <f>VLOOKUP(C18,'штрафы-карточка'!$E$2:$L$300,8,FALSE)</f>
        <v>0</v>
      </c>
      <c r="N18" s="61">
        <f t="shared" si="1"/>
        <v>0.23371527777777773</v>
      </c>
      <c r="O18" s="49">
        <v>0.07278935185185186</v>
      </c>
      <c r="P18" s="49">
        <v>0.07412037037037038</v>
      </c>
      <c r="Q18" s="49">
        <v>0.07606481481481481</v>
      </c>
      <c r="R18" s="57">
        <v>0.03460648148148148</v>
      </c>
      <c r="S18" s="57">
        <v>0.04262731481481482</v>
      </c>
      <c r="T18" s="49">
        <v>0.08471064814814815</v>
      </c>
      <c r="U18" s="57">
        <v>0.13050925925925924</v>
      </c>
      <c r="V18" s="57">
        <v>0.13246527777777778</v>
      </c>
      <c r="W18" s="57">
        <v>0.13532407407407407</v>
      </c>
      <c r="X18" s="49"/>
      <c r="Y18" s="49"/>
      <c r="Z18" s="49"/>
      <c r="AA18" s="57">
        <v>0.10052083333333334</v>
      </c>
      <c r="AB18" s="57">
        <v>0.11037037037037038</v>
      </c>
      <c r="AC18" s="57">
        <v>0.12868055555555555</v>
      </c>
    </row>
    <row r="19" spans="1:29" ht="13.5">
      <c r="A19" s="71">
        <v>16</v>
      </c>
      <c r="B19" s="22" t="s">
        <v>546</v>
      </c>
      <c r="C19" s="23" t="s">
        <v>205</v>
      </c>
      <c r="D19" s="23" t="s">
        <v>547</v>
      </c>
      <c r="E19" s="24">
        <f t="shared" si="0"/>
        <v>0.003252314814814805</v>
      </c>
      <c r="F19" s="25">
        <f>(1-COUNT(O19))*'штрафы-карточка'!$B$4+(4-COUNT(T19,U19,X19,AA19))*'штрафы-карточка'!$B$5+(4-COUNT(Q19,W19,Z19,AC19))*'штрафы-карточка'!$B$3</f>
        <v>120</v>
      </c>
      <c r="G19" s="26">
        <f>VLOOKUP(C19,'штрафы-карточка'!$E$2:$L$300,2,FALSE)</f>
        <v>0</v>
      </c>
      <c r="H19" s="26">
        <f>VLOOKUP(C19,'штрафы-карточка'!$E$2:$L$300,3,FALSE)</f>
        <v>0</v>
      </c>
      <c r="I19" s="26">
        <f>VLOOKUP(C19,'штрафы-карточка'!$E$2:$L$300,4,FALSE)</f>
        <v>0</v>
      </c>
      <c r="J19" s="26">
        <f>VLOOKUP(C19,'штрафы-карточка'!$E$2:$L$300,5,FALSE)</f>
        <v>0</v>
      </c>
      <c r="K19" s="26">
        <f>VLOOKUP(C19,'штрафы-карточка'!$E$2:$L$300,6,FALSE)</f>
        <v>0</v>
      </c>
      <c r="L19" s="26">
        <f>VLOOKUP(C19,'штрафы-карточка'!$E$2:$L$300,7,FALSE)</f>
        <v>0</v>
      </c>
      <c r="M19" s="26">
        <f>VLOOKUP(C19,'штрафы-карточка'!$E$2:$L$300,8,FALSE)</f>
        <v>0</v>
      </c>
      <c r="N19" s="61">
        <f t="shared" si="1"/>
        <v>0.2510300925925926</v>
      </c>
      <c r="O19" s="49">
        <v>0.06820601851851853</v>
      </c>
      <c r="P19" s="49">
        <v>0.06820601851851853</v>
      </c>
      <c r="Q19" s="49">
        <v>0.07390046296296296</v>
      </c>
      <c r="R19" s="57">
        <v>0.04730324074074074</v>
      </c>
      <c r="S19" s="57">
        <v>0.058993055555555556</v>
      </c>
      <c r="T19" s="49">
        <v>0.08538194444444445</v>
      </c>
      <c r="U19" s="57">
        <v>0.16229166666666667</v>
      </c>
      <c r="V19" s="57">
        <v>0.16390046296296296</v>
      </c>
      <c r="W19" s="57"/>
      <c r="X19" s="49">
        <v>0.11756944444444445</v>
      </c>
      <c r="Y19" s="49">
        <v>0.11921296296296297</v>
      </c>
      <c r="Z19" s="49">
        <v>0.12462962962962963</v>
      </c>
      <c r="AA19" s="57">
        <v>0.12619212962962964</v>
      </c>
      <c r="AB19" s="57">
        <v>0.12619212962962964</v>
      </c>
      <c r="AC19" s="57">
        <v>0.15082175925925925</v>
      </c>
    </row>
    <row r="20" spans="1:29" ht="13.5">
      <c r="A20" s="71">
        <v>17</v>
      </c>
      <c r="B20" s="22" t="s">
        <v>548</v>
      </c>
      <c r="C20" s="23" t="s">
        <v>214</v>
      </c>
      <c r="D20" s="23" t="s">
        <v>549</v>
      </c>
      <c r="E20" s="24">
        <f t="shared" si="0"/>
        <v>0.01898148148148146</v>
      </c>
      <c r="F20" s="25">
        <f>(1-COUNT(O20))*'штрафы-карточка'!$B$4+(4-COUNT(T20,U20,X20,AA20))*'штрафы-карточка'!$B$5+(4-COUNT(Q20,W20,Z20,AC20))*'штрафы-карточка'!$B$3</f>
        <v>120</v>
      </c>
      <c r="G20" s="26">
        <f>VLOOKUP(C20,'штрафы-карточка'!$E$2:$L$300,2,FALSE)</f>
        <v>0</v>
      </c>
      <c r="H20" s="26">
        <f>VLOOKUP(C20,'штрафы-карточка'!$E$2:$L$300,3,FALSE)</f>
        <v>0</v>
      </c>
      <c r="I20" s="26">
        <f>VLOOKUP(C20,'штрафы-карточка'!$E$2:$L$300,4,FALSE)</f>
        <v>0</v>
      </c>
      <c r="J20" s="26">
        <f>VLOOKUP(C20,'штрафы-карточка'!$E$2:$L$300,5,FALSE)</f>
        <v>0</v>
      </c>
      <c r="K20" s="26">
        <f>VLOOKUP(C20,'штрафы-карточка'!$E$2:$L$300,6,FALSE)</f>
        <v>0</v>
      </c>
      <c r="L20" s="26">
        <f>VLOOKUP(C20,'штрафы-карточка'!$E$2:$L$300,7,FALSE)</f>
        <v>0</v>
      </c>
      <c r="M20" s="26">
        <f>VLOOKUP(C20,'штрафы-карточка'!$E$2:$L$300,8,FALSE)</f>
        <v>0</v>
      </c>
      <c r="N20" s="61">
        <f t="shared" si="1"/>
        <v>0.25864583333333335</v>
      </c>
      <c r="O20" s="49">
        <v>0.053738425925925926</v>
      </c>
      <c r="P20" s="49">
        <v>0.06200231481481481</v>
      </c>
      <c r="Q20" s="49">
        <v>0.06457175925925926</v>
      </c>
      <c r="R20" s="57">
        <v>0.0694675925925926</v>
      </c>
      <c r="S20" s="57">
        <v>0.0958912037037037</v>
      </c>
      <c r="T20" s="68">
        <v>0.08333333333333333</v>
      </c>
      <c r="U20" s="57">
        <v>0.17782407407407408</v>
      </c>
      <c r="V20" s="57">
        <v>0.17923611111111112</v>
      </c>
      <c r="W20" s="57"/>
      <c r="X20" s="49">
        <v>0.1693402777777778</v>
      </c>
      <c r="Y20" s="49">
        <v>0.1693402777777778</v>
      </c>
      <c r="Z20" s="49">
        <v>0.17403935185185185</v>
      </c>
      <c r="AA20" s="57">
        <v>0.1274074074074074</v>
      </c>
      <c r="AB20" s="57">
        <v>0.13671296296296295</v>
      </c>
      <c r="AC20" s="57">
        <v>0.1653125</v>
      </c>
    </row>
  </sheetData>
  <mergeCells count="6">
    <mergeCell ref="X1:Z1"/>
    <mergeCell ref="AA1:AC1"/>
    <mergeCell ref="R1:S1"/>
    <mergeCell ref="A1:N2"/>
    <mergeCell ref="U1:W1"/>
    <mergeCell ref="O1:Q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O-time.ru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Alexey B. Yavich</cp:lastModifiedBy>
  <dcterms:created xsi:type="dcterms:W3CDTF">2010-06-08T12:34:24Z</dcterms:created>
  <dcterms:modified xsi:type="dcterms:W3CDTF">2010-06-15T18:33:57Z</dcterms:modified>
  <cp:category/>
  <cp:version/>
  <cp:contentType/>
  <cp:contentStatus/>
</cp:coreProperties>
</file>